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4240" windowHeight="12435" tabRatio="601" activeTab="4"/>
  </bookViews>
  <sheets>
    <sheet name="НН 3-8 дошк.гр." sheetId="18" r:id="rId1"/>
    <sheet name="НН присмотр дошк.гр. " sheetId="19" r:id="rId2"/>
    <sheet name="НН присмотр ГПД" sheetId="20" r:id="rId3"/>
    <sheet name="расчет по услугам" sheetId="17" r:id="rId4"/>
    <sheet name="ИТОГО БНЗ" sheetId="9" r:id="rId5"/>
  </sheets>
  <externalReferences>
    <externalReference r:id="rId6"/>
  </externalReferences>
  <definedNames>
    <definedName name="иные" localSheetId="0">#REF!</definedName>
    <definedName name="иные" localSheetId="2">#REF!</definedName>
    <definedName name="иные" localSheetId="1">#REF!</definedName>
    <definedName name="иные" localSheetId="3">#REF!</definedName>
    <definedName name="материальные_запасы_основные_средства" localSheetId="0">#REF!</definedName>
    <definedName name="материальные_запасы_основные_средства" localSheetId="2">#REF!</definedName>
    <definedName name="материальные_запасы_основные_средства" localSheetId="1">#REF!</definedName>
    <definedName name="материальные_запасы_основные_средства" localSheetId="3">#REF!</definedName>
    <definedName name="_xlnm.Print_Area" localSheetId="4">'ИТОГО БНЗ'!$A$1:$N$13</definedName>
    <definedName name="_xlnm.Print_Area" localSheetId="0">'НН 3-8 дошк.гр.'!$A$2:$AW$145</definedName>
    <definedName name="_xlnm.Print_Area" localSheetId="2">'НН присмотр ГПД'!$A$2:$AW$146</definedName>
    <definedName name="_xlnm.Print_Area" localSheetId="1">'НН присмотр дошк.гр. '!$A$2:$AW$146</definedName>
    <definedName name="_xlnm.Print_Area" localSheetId="3">'расчет по услугам'!$A$1:$AH$134</definedName>
    <definedName name="оплата_труда" localSheetId="0">#REF!</definedName>
    <definedName name="оплата_труда" localSheetId="2">#REF!</definedName>
    <definedName name="оплата_труда" localSheetId="1">#REF!</definedName>
    <definedName name="оплата_труда" localSheetId="3">#REF!</definedName>
    <definedName name="Список" localSheetId="0">#REF!</definedName>
    <definedName name="Список" localSheetId="2">#REF!</definedName>
    <definedName name="Список" localSheetId="1">#REF!</definedName>
    <definedName name="Список" localSheetId="3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94" i="17"/>
  <c r="V4" i="9"/>
  <c r="Y4" s="1"/>
  <c r="U8"/>
  <c r="AI132" i="17"/>
  <c r="X4" i="9" s="1"/>
  <c r="W4"/>
  <c r="U4"/>
  <c r="T4"/>
  <c r="S4"/>
  <c r="R4"/>
  <c r="Q4"/>
  <c r="P4"/>
  <c r="O4"/>
  <c r="AD13" i="17"/>
  <c r="AL116"/>
  <c r="AL67"/>
  <c r="AK67"/>
  <c r="AE102"/>
  <c r="AE98"/>
  <c r="AE99"/>
  <c r="AE100"/>
  <c r="AE101"/>
  <c r="AE96"/>
  <c r="AE97"/>
  <c r="P101"/>
  <c r="D101"/>
  <c r="P100"/>
  <c r="D100"/>
  <c r="P99"/>
  <c r="D99"/>
  <c r="P98"/>
  <c r="D98"/>
  <c r="E98"/>
  <c r="Q98"/>
  <c r="Q99" s="1"/>
  <c r="Q100" s="1"/>
  <c r="Q101" s="1"/>
  <c r="Q102" s="1"/>
  <c r="AB98"/>
  <c r="AB99" s="1"/>
  <c r="AB100" s="1"/>
  <c r="AB101" s="1"/>
  <c r="AB102" s="1"/>
  <c r="E99"/>
  <c r="E100" s="1"/>
  <c r="E101" s="1"/>
  <c r="E102" s="1"/>
  <c r="AK94"/>
  <c r="AK93"/>
  <c r="AF12"/>
  <c r="AF13"/>
  <c r="AD145" l="1"/>
  <c r="AC145"/>
  <c r="AB145"/>
  <c r="AI128"/>
  <c r="AI129"/>
  <c r="AI51"/>
  <c r="AI54"/>
  <c r="AI55"/>
  <c r="AI56"/>
  <c r="AI20"/>
  <c r="AI21"/>
  <c r="AI22"/>
  <c r="AI23"/>
  <c r="AI24"/>
  <c r="AI25"/>
  <c r="AI26"/>
  <c r="AI27"/>
  <c r="AI28"/>
  <c r="AI29"/>
  <c r="AI30"/>
  <c r="AI31"/>
  <c r="AI32"/>
  <c r="AI33"/>
  <c r="AI34"/>
  <c r="AI35"/>
  <c r="AI36"/>
  <c r="AI37"/>
  <c r="AI38"/>
  <c r="AI39"/>
  <c r="AI40"/>
  <c r="AI41"/>
  <c r="AI42"/>
  <c r="AI43"/>
  <c r="AI44"/>
  <c r="AI19"/>
  <c r="M106"/>
  <c r="N106"/>
  <c r="O106"/>
  <c r="M107"/>
  <c r="N107"/>
  <c r="O107"/>
  <c r="M108"/>
  <c r="N108"/>
  <c r="O108"/>
  <c r="M109"/>
  <c r="N109"/>
  <c r="O109"/>
  <c r="M110"/>
  <c r="N110"/>
  <c r="O110"/>
  <c r="M111"/>
  <c r="N111"/>
  <c r="O111"/>
  <c r="M112"/>
  <c r="N112"/>
  <c r="O112"/>
  <c r="M113"/>
  <c r="N113"/>
  <c r="O113"/>
  <c r="M114"/>
  <c r="N114"/>
  <c r="O114"/>
  <c r="M115"/>
  <c r="N115"/>
  <c r="O115"/>
  <c r="M116"/>
  <c r="N116"/>
  <c r="O116"/>
  <c r="M117"/>
  <c r="N117"/>
  <c r="O117"/>
  <c r="M118"/>
  <c r="N118"/>
  <c r="O118"/>
  <c r="M119"/>
  <c r="N119"/>
  <c r="O119"/>
  <c r="M120"/>
  <c r="N120"/>
  <c r="O120"/>
  <c r="M121"/>
  <c r="N121"/>
  <c r="O121"/>
  <c r="M122"/>
  <c r="N122"/>
  <c r="O122"/>
  <c r="M123"/>
  <c r="N123"/>
  <c r="O123"/>
  <c r="M124"/>
  <c r="N124"/>
  <c r="O124"/>
  <c r="M125"/>
  <c r="N125"/>
  <c r="O125"/>
  <c r="M126"/>
  <c r="N126"/>
  <c r="O126"/>
  <c r="M127"/>
  <c r="N127"/>
  <c r="O127"/>
  <c r="M128"/>
  <c r="N128"/>
  <c r="O128"/>
  <c r="M129"/>
  <c r="N129"/>
  <c r="O129"/>
  <c r="M130"/>
  <c r="N130"/>
  <c r="O130"/>
  <c r="M131"/>
  <c r="N131"/>
  <c r="O131"/>
  <c r="O105"/>
  <c r="N105"/>
  <c r="M105"/>
  <c r="M97"/>
  <c r="N97"/>
  <c r="O97"/>
  <c r="M98"/>
  <c r="N98"/>
  <c r="O98"/>
  <c r="M99"/>
  <c r="N99"/>
  <c r="O99"/>
  <c r="M100"/>
  <c r="N100"/>
  <c r="O100"/>
  <c r="M101"/>
  <c r="N101"/>
  <c r="O101"/>
  <c r="M102"/>
  <c r="N102"/>
  <c r="O102"/>
  <c r="O96"/>
  <c r="N96"/>
  <c r="M96"/>
  <c r="M92"/>
  <c r="N92"/>
  <c r="O92"/>
  <c r="M93"/>
  <c r="N93"/>
  <c r="O93"/>
  <c r="O91"/>
  <c r="N91"/>
  <c r="M91"/>
  <c r="M87"/>
  <c r="N87"/>
  <c r="O87"/>
  <c r="M88"/>
  <c r="N88"/>
  <c r="O88"/>
  <c r="O86"/>
  <c r="N86"/>
  <c r="M86"/>
  <c r="M70"/>
  <c r="N70"/>
  <c r="O70"/>
  <c r="M71"/>
  <c r="N71"/>
  <c r="O71"/>
  <c r="M72"/>
  <c r="N72"/>
  <c r="O72"/>
  <c r="M73"/>
  <c r="N73"/>
  <c r="O73"/>
  <c r="M74"/>
  <c r="N74"/>
  <c r="O74"/>
  <c r="M75"/>
  <c r="N75"/>
  <c r="O75"/>
  <c r="M76"/>
  <c r="N76"/>
  <c r="O76"/>
  <c r="M77"/>
  <c r="N77"/>
  <c r="O77"/>
  <c r="M78"/>
  <c r="N78"/>
  <c r="O78"/>
  <c r="O69"/>
  <c r="N69"/>
  <c r="M69"/>
  <c r="M63"/>
  <c r="N63"/>
  <c r="O63"/>
  <c r="M64"/>
  <c r="N64"/>
  <c r="O64"/>
  <c r="M65"/>
  <c r="N65"/>
  <c r="O65"/>
  <c r="M66"/>
  <c r="N66"/>
  <c r="O66"/>
  <c r="O62"/>
  <c r="N62"/>
  <c r="M62"/>
  <c r="O51"/>
  <c r="O52"/>
  <c r="O53"/>
  <c r="O54"/>
  <c r="O55"/>
  <c r="O56"/>
  <c r="N51"/>
  <c r="N52"/>
  <c r="N53"/>
  <c r="N54"/>
  <c r="N55"/>
  <c r="N56"/>
  <c r="M51"/>
  <c r="M52"/>
  <c r="M53"/>
  <c r="M54"/>
  <c r="M55"/>
  <c r="M56"/>
  <c r="O50"/>
  <c r="N50"/>
  <c r="M50"/>
  <c r="M20"/>
  <c r="N20"/>
  <c r="M21"/>
  <c r="N21"/>
  <c r="M22"/>
  <c r="N22"/>
  <c r="M23"/>
  <c r="N23"/>
  <c r="M24"/>
  <c r="N24"/>
  <c r="M25"/>
  <c r="N25"/>
  <c r="M26"/>
  <c r="N26"/>
  <c r="M27"/>
  <c r="N27"/>
  <c r="M28"/>
  <c r="N28"/>
  <c r="M29"/>
  <c r="N29"/>
  <c r="M30"/>
  <c r="N30"/>
  <c r="M31"/>
  <c r="N31"/>
  <c r="M32"/>
  <c r="N32"/>
  <c r="M33"/>
  <c r="N33"/>
  <c r="M34"/>
  <c r="N34"/>
  <c r="M35"/>
  <c r="N35"/>
  <c r="M36"/>
  <c r="N36"/>
  <c r="M37"/>
  <c r="N37"/>
  <c r="M38"/>
  <c r="N38"/>
  <c r="M39"/>
  <c r="N39"/>
  <c r="M40"/>
  <c r="N40"/>
  <c r="M41"/>
  <c r="N41"/>
  <c r="M42"/>
  <c r="N42"/>
  <c r="M43"/>
  <c r="N43"/>
  <c r="M44"/>
  <c r="N44"/>
  <c r="N19"/>
  <c r="M19"/>
  <c r="T106"/>
  <c r="T107"/>
  <c r="T108"/>
  <c r="T109"/>
  <c r="T110"/>
  <c r="T111"/>
  <c r="T112"/>
  <c r="T113"/>
  <c r="T114"/>
  <c r="T115"/>
  <c r="T116"/>
  <c r="T117"/>
  <c r="T118"/>
  <c r="T119"/>
  <c r="T120"/>
  <c r="T121"/>
  <c r="T122"/>
  <c r="T123"/>
  <c r="T124"/>
  <c r="T125"/>
  <c r="T126"/>
  <c r="T127"/>
  <c r="T128"/>
  <c r="T129"/>
  <c r="T130"/>
  <c r="T131"/>
  <c r="T105"/>
  <c r="T92"/>
  <c r="T93"/>
  <c r="T91"/>
  <c r="T87"/>
  <c r="T88"/>
  <c r="T86"/>
  <c r="T70"/>
  <c r="T71"/>
  <c r="T72"/>
  <c r="T73"/>
  <c r="T74"/>
  <c r="T75"/>
  <c r="T76"/>
  <c r="T77"/>
  <c r="T78"/>
  <c r="T69"/>
  <c r="T63"/>
  <c r="T64"/>
  <c r="T65"/>
  <c r="T66"/>
  <c r="T62"/>
  <c r="U51"/>
  <c r="U52"/>
  <c r="U53"/>
  <c r="U54"/>
  <c r="U56"/>
  <c r="U50"/>
  <c r="U20"/>
  <c r="U21"/>
  <c r="U22"/>
  <c r="U23"/>
  <c r="U24"/>
  <c r="U25"/>
  <c r="U26"/>
  <c r="U27"/>
  <c r="U28"/>
  <c r="U29"/>
  <c r="U30"/>
  <c r="U31"/>
  <c r="U32"/>
  <c r="U33"/>
  <c r="U34"/>
  <c r="U35"/>
  <c r="U36"/>
  <c r="U37"/>
  <c r="U38"/>
  <c r="U39"/>
  <c r="U40"/>
  <c r="U41"/>
  <c r="U42"/>
  <c r="U43"/>
  <c r="U44"/>
  <c r="U19"/>
  <c r="M13"/>
  <c r="N13"/>
  <c r="N12"/>
  <c r="M12"/>
  <c r="AL129"/>
  <c r="T99"/>
  <c r="T101"/>
  <c r="T100"/>
  <c r="T98"/>
  <c r="T102"/>
  <c r="T97"/>
  <c r="T96"/>
  <c r="U12"/>
  <c r="AG63"/>
  <c r="AG64"/>
  <c r="AG65"/>
  <c r="AG66"/>
  <c r="AG62"/>
  <c r="F50"/>
  <c r="E50" s="1"/>
  <c r="AC19"/>
  <c r="R50"/>
  <c r="Q50" s="1"/>
  <c r="F19"/>
  <c r="F20" s="1"/>
  <c r="F21" s="1"/>
  <c r="F22" s="1"/>
  <c r="F23" s="1"/>
  <c r="F24" s="1"/>
  <c r="F25" s="1"/>
  <c r="F26" s="1"/>
  <c r="F27" s="1"/>
  <c r="F28" s="1"/>
  <c r="F29" s="1"/>
  <c r="F30" s="1"/>
  <c r="F31" s="1"/>
  <c r="F32" s="1"/>
  <c r="F33" s="1"/>
  <c r="F34" s="1"/>
  <c r="F35" s="1"/>
  <c r="F36" s="1"/>
  <c r="F37" s="1"/>
  <c r="F38" s="1"/>
  <c r="F39" s="1"/>
  <c r="F40" s="1"/>
  <c r="F41" s="1"/>
  <c r="F42" s="1"/>
  <c r="F43" s="1"/>
  <c r="F44" s="1"/>
  <c r="F51" l="1"/>
  <c r="F52" s="1"/>
  <c r="R51"/>
  <c r="R52" s="1"/>
  <c r="Q52" s="1"/>
  <c r="F53" l="1"/>
  <c r="E53" s="1"/>
  <c r="E52"/>
  <c r="AI52" s="1"/>
  <c r="R53"/>
  <c r="Q53" s="1"/>
  <c r="A127"/>
  <c r="C127"/>
  <c r="H127"/>
  <c r="B127"/>
  <c r="C131"/>
  <c r="H131"/>
  <c r="B131"/>
  <c r="A131"/>
  <c r="F54" l="1"/>
  <c r="F55" s="1"/>
  <c r="F56" s="1"/>
  <c r="R54"/>
  <c r="R55" s="1"/>
  <c r="R56" s="1"/>
  <c r="U13" l="1"/>
  <c r="AJ151"/>
  <c r="AK50" l="1"/>
  <c r="AK53"/>
  <c r="AL117"/>
  <c r="AL107"/>
  <c r="AF135"/>
  <c r="U135"/>
  <c r="I135"/>
  <c r="AL79"/>
  <c r="AK52"/>
  <c r="AK46"/>
  <c r="AN116"/>
  <c r="AL114"/>
  <c r="AL115"/>
  <c r="AN109"/>
  <c r="A106"/>
  <c r="A108"/>
  <c r="B108"/>
  <c r="C110"/>
  <c r="B111"/>
  <c r="C112"/>
  <c r="B113"/>
  <c r="C113"/>
  <c r="A115"/>
  <c r="B115"/>
  <c r="C116"/>
  <c r="B117"/>
  <c r="C117"/>
  <c r="A118"/>
  <c r="B119"/>
  <c r="A120"/>
  <c r="C120"/>
  <c r="C121"/>
  <c r="A122"/>
  <c r="A123"/>
  <c r="B123"/>
  <c r="B124"/>
  <c r="C125"/>
  <c r="B128"/>
  <c r="B129"/>
  <c r="C129"/>
  <c r="C130"/>
  <c r="C105"/>
  <c r="B105"/>
  <c r="B106"/>
  <c r="C107"/>
  <c r="C109"/>
  <c r="A110"/>
  <c r="B110"/>
  <c r="C111"/>
  <c r="A112"/>
  <c r="A113"/>
  <c r="C115"/>
  <c r="A116"/>
  <c r="A117"/>
  <c r="B118"/>
  <c r="C119"/>
  <c r="B122"/>
  <c r="C122"/>
  <c r="C123"/>
  <c r="A124"/>
  <c r="B125"/>
  <c r="C126"/>
  <c r="C128"/>
  <c r="A129"/>
  <c r="A130"/>
  <c r="A105"/>
  <c r="C106"/>
  <c r="A107"/>
  <c r="B107"/>
  <c r="A109"/>
  <c r="B109"/>
  <c r="B112"/>
  <c r="B114"/>
  <c r="C114"/>
  <c r="B116"/>
  <c r="C118"/>
  <c r="B120"/>
  <c r="B121"/>
  <c r="A125"/>
  <c r="A128"/>
  <c r="C108"/>
  <c r="A111"/>
  <c r="A114"/>
  <c r="A119"/>
  <c r="A121"/>
  <c r="C124"/>
  <c r="B130"/>
  <c r="A126"/>
  <c r="B126"/>
  <c r="A92"/>
  <c r="B92"/>
  <c r="C92"/>
  <c r="A93"/>
  <c r="B93"/>
  <c r="C93"/>
  <c r="C91"/>
  <c r="B91"/>
  <c r="A91"/>
  <c r="AK89"/>
  <c r="AK57" l="1"/>
  <c r="AG87"/>
  <c r="AG88"/>
  <c r="AG86"/>
  <c r="B87"/>
  <c r="C87"/>
  <c r="B88"/>
  <c r="C88"/>
  <c r="C86"/>
  <c r="A86"/>
  <c r="A87"/>
  <c r="A88"/>
  <c r="B86"/>
  <c r="A70" l="1"/>
  <c r="B70"/>
  <c r="C70"/>
  <c r="A71"/>
  <c r="B71"/>
  <c r="C71"/>
  <c r="A72"/>
  <c r="B72"/>
  <c r="C72"/>
  <c r="A73"/>
  <c r="B73"/>
  <c r="C73"/>
  <c r="A74"/>
  <c r="B74"/>
  <c r="C74"/>
  <c r="A75"/>
  <c r="B75"/>
  <c r="C75"/>
  <c r="A76"/>
  <c r="B76"/>
  <c r="C76"/>
  <c r="A77"/>
  <c r="B77"/>
  <c r="C77"/>
  <c r="A78"/>
  <c r="B78"/>
  <c r="C78"/>
  <c r="A69"/>
  <c r="B69"/>
  <c r="C69"/>
  <c r="A63"/>
  <c r="B63"/>
  <c r="A64"/>
  <c r="B64"/>
  <c r="C64"/>
  <c r="B65"/>
  <c r="C65"/>
  <c r="A66"/>
  <c r="C66"/>
  <c r="C62"/>
  <c r="B62"/>
  <c r="C63"/>
  <c r="A65"/>
  <c r="B66"/>
  <c r="A62"/>
  <c r="C51"/>
  <c r="C53"/>
  <c r="C55"/>
  <c r="C56"/>
  <c r="A51"/>
  <c r="A52"/>
  <c r="B52"/>
  <c r="A53"/>
  <c r="A54"/>
  <c r="B54"/>
  <c r="A56"/>
  <c r="B56"/>
  <c r="C50"/>
  <c r="B50"/>
  <c r="A50"/>
  <c r="C52"/>
  <c r="C54"/>
  <c r="B51"/>
  <c r="B53"/>
  <c r="B55"/>
  <c r="A55"/>
  <c r="AC12" l="1"/>
  <c r="Z12" s="1"/>
  <c r="AC13" l="1"/>
  <c r="Z13" s="1"/>
  <c r="AC20"/>
  <c r="AC21" s="1"/>
  <c r="AC22" s="1"/>
  <c r="AC23" s="1"/>
  <c r="AC24" s="1"/>
  <c r="AC25" s="1"/>
  <c r="AC26" s="1"/>
  <c r="AC27" s="1"/>
  <c r="AC28" s="1"/>
  <c r="AC29" s="1"/>
  <c r="I19"/>
  <c r="A20"/>
  <c r="A21"/>
  <c r="A23"/>
  <c r="A25"/>
  <c r="A27"/>
  <c r="A28"/>
  <c r="A29"/>
  <c r="A31"/>
  <c r="A32"/>
  <c r="A33"/>
  <c r="A35"/>
  <c r="A36"/>
  <c r="A37"/>
  <c r="A39"/>
  <c r="A41"/>
  <c r="A43"/>
  <c r="A44"/>
  <c r="A19"/>
  <c r="I21"/>
  <c r="I23"/>
  <c r="I24"/>
  <c r="I25"/>
  <c r="I26"/>
  <c r="I27"/>
  <c r="I28"/>
  <c r="I29"/>
  <c r="I30"/>
  <c r="I31"/>
  <c r="I32"/>
  <c r="I33"/>
  <c r="I34"/>
  <c r="I36"/>
  <c r="I37"/>
  <c r="I38"/>
  <c r="I39"/>
  <c r="I40"/>
  <c r="I41"/>
  <c r="I42"/>
  <c r="I43"/>
  <c r="I44"/>
  <c r="B20"/>
  <c r="B21"/>
  <c r="B22"/>
  <c r="B23"/>
  <c r="B24"/>
  <c r="B25"/>
  <c r="B26"/>
  <c r="B27"/>
  <c r="B28"/>
  <c r="B29"/>
  <c r="B31"/>
  <c r="B32"/>
  <c r="B33"/>
  <c r="B34"/>
  <c r="B35"/>
  <c r="B36"/>
  <c r="B37"/>
  <c r="B38"/>
  <c r="B39"/>
  <c r="B40"/>
  <c r="B41"/>
  <c r="B42"/>
  <c r="B43"/>
  <c r="B44"/>
  <c r="B19"/>
  <c r="A24"/>
  <c r="A30"/>
  <c r="A34"/>
  <c r="A38"/>
  <c r="A40"/>
  <c r="A42"/>
  <c r="I20"/>
  <c r="I22"/>
  <c r="I35"/>
  <c r="A26"/>
  <c r="B30"/>
  <c r="A22"/>
  <c r="AB13"/>
  <c r="AD29" l="1"/>
  <c r="AG29" s="1"/>
  <c r="AC30"/>
  <c r="R12"/>
  <c r="O12" s="1"/>
  <c r="AL13"/>
  <c r="AL12"/>
  <c r="Q12" l="1"/>
  <c r="R13"/>
  <c r="O13" s="1"/>
  <c r="AC31"/>
  <c r="AD30"/>
  <c r="AG30" s="1"/>
  <c r="M7" i="9"/>
  <c r="M6"/>
  <c r="M5"/>
  <c r="R19" i="17" l="1"/>
  <c r="Q87"/>
  <c r="P87" s="1"/>
  <c r="AC32"/>
  <c r="AD31"/>
  <c r="AG31" s="1"/>
  <c r="AL101"/>
  <c r="S87" l="1"/>
  <c r="R20"/>
  <c r="R21" s="1"/>
  <c r="R22" s="1"/>
  <c r="R23" s="1"/>
  <c r="R24" s="1"/>
  <c r="R25" s="1"/>
  <c r="R26" s="1"/>
  <c r="R27" s="1"/>
  <c r="R28" s="1"/>
  <c r="R29" s="1"/>
  <c r="R30" s="1"/>
  <c r="R31" s="1"/>
  <c r="R32" s="1"/>
  <c r="R33" s="1"/>
  <c r="R34" s="1"/>
  <c r="R35" s="1"/>
  <c r="R36" s="1"/>
  <c r="R37" s="1"/>
  <c r="R38" s="1"/>
  <c r="R39" s="1"/>
  <c r="R40" s="1"/>
  <c r="R41" s="1"/>
  <c r="R42" s="1"/>
  <c r="R43" s="1"/>
  <c r="R44" s="1"/>
  <c r="AC33"/>
  <c r="AD32"/>
  <c r="AG32" s="1"/>
  <c r="AK15"/>
  <c r="AG145"/>
  <c r="AG147"/>
  <c r="M11" i="9"/>
  <c r="M10"/>
  <c r="AD156" i="17"/>
  <c r="AE156"/>
  <c r="AG146"/>
  <c r="AG148"/>
  <c r="AG149"/>
  <c r="AG150"/>
  <c r="AG151"/>
  <c r="AG152"/>
  <c r="AG153"/>
  <c r="AG154"/>
  <c r="AG155"/>
  <c r="H93"/>
  <c r="AB93"/>
  <c r="AD93" s="1"/>
  <c r="AG93" s="1"/>
  <c r="M15" i="9"/>
  <c r="AF156" i="17" l="1"/>
  <c r="AB156"/>
  <c r="AL97"/>
  <c r="AD33"/>
  <c r="AG33" s="1"/>
  <c r="AC34"/>
  <c r="AC156"/>
  <c r="AG156"/>
  <c r="AF157" l="1"/>
  <c r="AG157" s="1"/>
  <c r="AC35"/>
  <c r="AD34"/>
  <c r="AG34" s="1"/>
  <c r="AC36" l="1"/>
  <c r="AD35"/>
  <c r="AG35" s="1"/>
  <c r="H112"/>
  <c r="AD36" l="1"/>
  <c r="AG36" s="1"/>
  <c r="AC37"/>
  <c r="AG78"/>
  <c r="AK79"/>
  <c r="H92"/>
  <c r="AB92"/>
  <c r="AD92" s="1"/>
  <c r="AD113"/>
  <c r="AG113" s="1"/>
  <c r="AD37" l="1"/>
  <c r="AG37" s="1"/>
  <c r="AC38"/>
  <c r="AD38" l="1"/>
  <c r="AG38" s="1"/>
  <c r="AC39"/>
  <c r="AC40" s="1"/>
  <c r="AC41" s="1"/>
  <c r="AC42" s="1"/>
  <c r="AC43" s="1"/>
  <c r="AC44" s="1"/>
  <c r="AC50" s="1"/>
  <c r="AB50" s="1"/>
  <c r="H65"/>
  <c r="AI50" l="1"/>
  <c r="AD50"/>
  <c r="AC51"/>
  <c r="AC52" l="1"/>
  <c r="AD51"/>
  <c r="H78"/>
  <c r="AC53" l="1"/>
  <c r="AB53" s="1"/>
  <c r="AD52"/>
  <c r="A97"/>
  <c r="B97"/>
  <c r="B96"/>
  <c r="A96"/>
  <c r="AB96"/>
  <c r="AA96" s="1"/>
  <c r="A13"/>
  <c r="A12"/>
  <c r="B13"/>
  <c r="B12"/>
  <c r="H102"/>
  <c r="F12"/>
  <c r="C12" s="1"/>
  <c r="AC54" l="1"/>
  <c r="AI12"/>
  <c r="F13"/>
  <c r="C13" s="1"/>
  <c r="B101"/>
  <c r="B100"/>
  <c r="A102"/>
  <c r="A99"/>
  <c r="A98"/>
  <c r="B102"/>
  <c r="B99"/>
  <c r="B98"/>
  <c r="A101"/>
  <c r="A100"/>
  <c r="AD96"/>
  <c r="AB12"/>
  <c r="AD12" s="1"/>
  <c r="AI53" l="1"/>
  <c r="AD53"/>
  <c r="AC55"/>
  <c r="AD54"/>
  <c r="AI13"/>
  <c r="E12"/>
  <c r="E87"/>
  <c r="D87" s="1"/>
  <c r="AC56" l="1"/>
  <c r="AD56" s="1"/>
  <c r="AD55"/>
  <c r="G87"/>
  <c r="AI87"/>
  <c r="H70"/>
  <c r="H71"/>
  <c r="H72"/>
  <c r="H73"/>
  <c r="H74"/>
  <c r="H75"/>
  <c r="H76"/>
  <c r="H77"/>
  <c r="H69"/>
  <c r="H63" l="1"/>
  <c r="H64"/>
  <c r="H66"/>
  <c r="H91"/>
  <c r="H107"/>
  <c r="H106"/>
  <c r="H108"/>
  <c r="H109"/>
  <c r="H110"/>
  <c r="H111"/>
  <c r="H114"/>
  <c r="H115"/>
  <c r="H116"/>
  <c r="H117"/>
  <c r="H118"/>
  <c r="H121"/>
  <c r="H122"/>
  <c r="H123"/>
  <c r="H125"/>
  <c r="H126"/>
  <c r="H105"/>
  <c r="H97"/>
  <c r="H96"/>
  <c r="H100"/>
  <c r="H98"/>
  <c r="AD39"/>
  <c r="AD40"/>
  <c r="AG40" s="1"/>
  <c r="H88" l="1"/>
  <c r="I50"/>
  <c r="H124"/>
  <c r="H128"/>
  <c r="H120"/>
  <c r="H119"/>
  <c r="H113"/>
  <c r="I54"/>
  <c r="I56"/>
  <c r="I51"/>
  <c r="I52"/>
  <c r="I53"/>
  <c r="AG39"/>
  <c r="H129"/>
  <c r="H62"/>
  <c r="H86" l="1"/>
  <c r="V87" l="1"/>
  <c r="H87"/>
  <c r="I12"/>
  <c r="AB62"/>
  <c r="AB63" l="1"/>
  <c r="J87"/>
  <c r="AJ87" s="1"/>
  <c r="AD20"/>
  <c r="AG20" s="1"/>
  <c r="AD19"/>
  <c r="AG19" s="1"/>
  <c r="AG12"/>
  <c r="AB97"/>
  <c r="AA97" s="1"/>
  <c r="AB64" l="1"/>
  <c r="AD97"/>
  <c r="E13"/>
  <c r="AB66" l="1"/>
  <c r="AB65"/>
  <c r="G13"/>
  <c r="AD21"/>
  <c r="AG21" s="1"/>
  <c r="AB69" l="1"/>
  <c r="AB70" s="1"/>
  <c r="AB71" s="1"/>
  <c r="AB72" s="1"/>
  <c r="AB73" s="1"/>
  <c r="AB74" s="1"/>
  <c r="AB75" s="1"/>
  <c r="AB76" s="1"/>
  <c r="AB77" s="1"/>
  <c r="AD22"/>
  <c r="AG22" s="1"/>
  <c r="AB78" l="1"/>
  <c r="AB91"/>
  <c r="AA91" s="1"/>
  <c r="AD91" s="1"/>
  <c r="AG91" s="1"/>
  <c r="Q13"/>
  <c r="S13" s="1"/>
  <c r="AD24"/>
  <c r="AD23"/>
  <c r="AG23" s="1"/>
  <c r="AG24" l="1"/>
  <c r="AD98" l="1"/>
  <c r="AG98" s="1"/>
  <c r="AD25"/>
  <c r="AG25" s="1"/>
  <c r="AD26" l="1"/>
  <c r="AG26" s="1"/>
  <c r="AD99" l="1"/>
  <c r="AG99" s="1"/>
  <c r="E13" i="18"/>
  <c r="AD27" i="17"/>
  <c r="AG27" s="1"/>
  <c r="AD100" l="1"/>
  <c r="AG100" s="1"/>
  <c r="AD28"/>
  <c r="AG28" s="1"/>
  <c r="AD101" l="1"/>
  <c r="AG101" s="1"/>
  <c r="AB105"/>
  <c r="AD102" l="1"/>
  <c r="AG102" s="1"/>
  <c r="AD105"/>
  <c r="AG105" s="1"/>
  <c r="AB106"/>
  <c r="AD106" l="1"/>
  <c r="AG106" s="1"/>
  <c r="AB107"/>
  <c r="AD107" l="1"/>
  <c r="AG107" s="1"/>
  <c r="AB108"/>
  <c r="AD108" l="1"/>
  <c r="AG108" s="1"/>
  <c r="AB109"/>
  <c r="AD109" l="1"/>
  <c r="AG109" s="1"/>
  <c r="AB110"/>
  <c r="AD110" l="1"/>
  <c r="AG110" s="1"/>
  <c r="AB111"/>
  <c r="AB112" l="1"/>
  <c r="AD112" s="1"/>
  <c r="AG112" s="1"/>
  <c r="AB114"/>
  <c r="AD111"/>
  <c r="AG111" s="1"/>
  <c r="AD114" l="1"/>
  <c r="AG114" s="1"/>
  <c r="AB115"/>
  <c r="AD115" l="1"/>
  <c r="AG115" s="1"/>
  <c r="AB116"/>
  <c r="AD116" l="1"/>
  <c r="AG116" s="1"/>
  <c r="AB117"/>
  <c r="AD117" l="1"/>
  <c r="AG117" s="1"/>
  <c r="AB118"/>
  <c r="AD118" l="1"/>
  <c r="AG118" s="1"/>
  <c r="AB119"/>
  <c r="AD119" l="1"/>
  <c r="AG119" s="1"/>
  <c r="AB120"/>
  <c r="AD120" l="1"/>
  <c r="AG120" s="1"/>
  <c r="AB121"/>
  <c r="AD121" l="1"/>
  <c r="AG121" s="1"/>
  <c r="AB122"/>
  <c r="AD122" l="1"/>
  <c r="AG122" s="1"/>
  <c r="AB123"/>
  <c r="AD123" l="1"/>
  <c r="AG123" s="1"/>
  <c r="AB124"/>
  <c r="AD124" l="1"/>
  <c r="AG124" s="1"/>
  <c r="AB125"/>
  <c r="AD125" l="1"/>
  <c r="AG125" s="1"/>
  <c r="AB126"/>
  <c r="AB127" l="1"/>
  <c r="AD126"/>
  <c r="AG126" s="1"/>
  <c r="AB128" l="1"/>
  <c r="AD127"/>
  <c r="AG127" s="1"/>
  <c r="AD128" l="1"/>
  <c r="AG128" s="1"/>
  <c r="AB129"/>
  <c r="AD129" l="1"/>
  <c r="AG129" s="1"/>
  <c r="AB130"/>
  <c r="AB131" l="1"/>
  <c r="AD131" s="1"/>
  <c r="AG131" s="1"/>
  <c r="AG132" s="1"/>
  <c r="AD130"/>
  <c r="AG130" s="1"/>
  <c r="H99" l="1"/>
  <c r="AG97"/>
  <c r="AG96"/>
  <c r="AG92"/>
  <c r="AG89"/>
  <c r="AG84"/>
  <c r="G7" i="9" s="1"/>
  <c r="T7" s="1"/>
  <c r="AB81" i="17"/>
  <c r="AB82" s="1"/>
  <c r="AB83" s="1"/>
  <c r="AG56"/>
  <c r="U55"/>
  <c r="AG54"/>
  <c r="AG52"/>
  <c r="AG51"/>
  <c r="AG50"/>
  <c r="AD44"/>
  <c r="AG44" s="1"/>
  <c r="AD43"/>
  <c r="AG43" s="1"/>
  <c r="AD42"/>
  <c r="AG42" s="1"/>
  <c r="AD41"/>
  <c r="AG41" s="1"/>
  <c r="AG75" l="1"/>
  <c r="AG76"/>
  <c r="AG70"/>
  <c r="AG74"/>
  <c r="H7" i="9"/>
  <c r="U7" s="1"/>
  <c r="AG71" i="17"/>
  <c r="AG72"/>
  <c r="AG73"/>
  <c r="AG77"/>
  <c r="AG94"/>
  <c r="AG69"/>
  <c r="AG45"/>
  <c r="AG103"/>
  <c r="AG55"/>
  <c r="AG53"/>
  <c r="AG67"/>
  <c r="K7" i="9"/>
  <c r="X7" s="1"/>
  <c r="AG79" i="17" l="1"/>
  <c r="AG133" s="1"/>
  <c r="I55"/>
  <c r="AG57"/>
  <c r="I7" i="9"/>
  <c r="V7" s="1"/>
  <c r="E7"/>
  <c r="R7" s="1"/>
  <c r="J7"/>
  <c r="W7" s="1"/>
  <c r="H101" i="17"/>
  <c r="C7" i="9"/>
  <c r="P7" s="1"/>
  <c r="F7" l="1"/>
  <c r="S7" s="1"/>
  <c r="D7"/>
  <c r="Q7" s="1"/>
  <c r="E123" i="20" l="1"/>
  <c r="E129"/>
  <c r="E130"/>
  <c r="E112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48"/>
  <c r="C49"/>
  <c r="C50"/>
  <c r="C25"/>
  <c r="C13"/>
  <c r="C146" l="1"/>
  <c r="AE145"/>
  <c r="AD145" s="1"/>
  <c r="AG145" s="1"/>
  <c r="AJ145" s="1"/>
  <c r="AY145" s="1"/>
  <c r="T145"/>
  <c r="S145" s="1"/>
  <c r="V145" s="1"/>
  <c r="Y145" s="1"/>
  <c r="H145"/>
  <c r="K145" s="1"/>
  <c r="C145"/>
  <c r="AD144"/>
  <c r="AG144" s="1"/>
  <c r="AJ144" s="1"/>
  <c r="AY144" s="1"/>
  <c r="S144"/>
  <c r="V144" s="1"/>
  <c r="Y144" s="1"/>
  <c r="H144"/>
  <c r="K144" s="1"/>
  <c r="C144"/>
  <c r="C143"/>
  <c r="C142"/>
  <c r="H141"/>
  <c r="K141" s="1"/>
  <c r="C141"/>
  <c r="H140"/>
  <c r="K140" s="1"/>
  <c r="C140"/>
  <c r="H139"/>
  <c r="K139" s="1"/>
  <c r="C139"/>
  <c r="H138"/>
  <c r="K138" s="1"/>
  <c r="C138"/>
  <c r="H137"/>
  <c r="K137" s="1"/>
  <c r="C137"/>
  <c r="H136"/>
  <c r="K136" s="1"/>
  <c r="C136"/>
  <c r="H135"/>
  <c r="K135" s="1"/>
  <c r="C135"/>
  <c r="H134"/>
  <c r="K134" s="1"/>
  <c r="C134"/>
  <c r="H133"/>
  <c r="K133" s="1"/>
  <c r="C133"/>
  <c r="H132"/>
  <c r="K132" s="1"/>
  <c r="C132"/>
  <c r="H131"/>
  <c r="K131" s="1"/>
  <c r="C131"/>
  <c r="AT130"/>
  <c r="AH130"/>
  <c r="W130"/>
  <c r="I130"/>
  <c r="H130"/>
  <c r="C130"/>
  <c r="H129"/>
  <c r="K129" s="1"/>
  <c r="C129"/>
  <c r="H128"/>
  <c r="K128" s="1"/>
  <c r="C128"/>
  <c r="H127"/>
  <c r="K127" s="1"/>
  <c r="C127"/>
  <c r="H126"/>
  <c r="K126" s="1"/>
  <c r="C126"/>
  <c r="H125"/>
  <c r="K125" s="1"/>
  <c r="C125"/>
  <c r="H124"/>
  <c r="K124" s="1"/>
  <c r="C124"/>
  <c r="AQ123"/>
  <c r="AQ124" s="1"/>
  <c r="AE123"/>
  <c r="AE124" s="1"/>
  <c r="T123"/>
  <c r="T124" s="1"/>
  <c r="H123"/>
  <c r="K123" s="1"/>
  <c r="C123"/>
  <c r="AS122"/>
  <c r="AV122" s="1"/>
  <c r="AZ122" s="1"/>
  <c r="AD122"/>
  <c r="AG122" s="1"/>
  <c r="AJ122" s="1"/>
  <c r="AY122" s="1"/>
  <c r="S122"/>
  <c r="V122" s="1"/>
  <c r="Y122" s="1"/>
  <c r="H122"/>
  <c r="K122" s="1"/>
  <c r="C122"/>
  <c r="AY119"/>
  <c r="AZ118"/>
  <c r="AY118"/>
  <c r="AT118"/>
  <c r="AY117"/>
  <c r="AT117"/>
  <c r="AY116"/>
  <c r="AT116"/>
  <c r="AY115"/>
  <c r="AT115"/>
  <c r="AQ115"/>
  <c r="AQ117" s="1"/>
  <c r="BA114"/>
  <c r="AY114"/>
  <c r="E114"/>
  <c r="C114"/>
  <c r="AT113"/>
  <c r="AH113"/>
  <c r="W113"/>
  <c r="I113"/>
  <c r="H113"/>
  <c r="C113"/>
  <c r="AT112"/>
  <c r="AH112"/>
  <c r="W112"/>
  <c r="I112"/>
  <c r="H112"/>
  <c r="C112"/>
  <c r="AT111"/>
  <c r="AQ111"/>
  <c r="AQ112" s="1"/>
  <c r="AS112" s="1"/>
  <c r="AP111"/>
  <c r="AH111"/>
  <c r="AE111"/>
  <c r="AE112" s="1"/>
  <c r="AD112" s="1"/>
  <c r="AG112" s="1"/>
  <c r="W111"/>
  <c r="T111"/>
  <c r="T112" s="1"/>
  <c r="T113" s="1"/>
  <c r="I111"/>
  <c r="H111"/>
  <c r="C111"/>
  <c r="AT110"/>
  <c r="AP110"/>
  <c r="AS110" s="1"/>
  <c r="AH110"/>
  <c r="AD110"/>
  <c r="AG110" s="1"/>
  <c r="AJ110" s="1"/>
  <c r="W110"/>
  <c r="S110"/>
  <c r="V110" s="1"/>
  <c r="I110"/>
  <c r="H110"/>
  <c r="K110" s="1"/>
  <c r="K120" s="1"/>
  <c r="C110"/>
  <c r="C109"/>
  <c r="C108"/>
  <c r="C107"/>
  <c r="C106"/>
  <c r="C105"/>
  <c r="C104"/>
  <c r="C103"/>
  <c r="AY102"/>
  <c r="AP100"/>
  <c r="BA100" s="1"/>
  <c r="BA101" s="1"/>
  <c r="AD100"/>
  <c r="AG100" s="1"/>
  <c r="AJ100" s="1"/>
  <c r="AY100" s="1"/>
  <c r="AY101" s="1"/>
  <c r="BB101" s="1"/>
  <c r="S100"/>
  <c r="V100" s="1"/>
  <c r="Y100" s="1"/>
  <c r="Y101" s="1"/>
  <c r="H100"/>
  <c r="K100" s="1"/>
  <c r="K101" s="1"/>
  <c r="AY99"/>
  <c r="AP97"/>
  <c r="BA97" s="1"/>
  <c r="AD97"/>
  <c r="AG97" s="1"/>
  <c r="AJ97" s="1"/>
  <c r="AY97" s="1"/>
  <c r="S97"/>
  <c r="V97" s="1"/>
  <c r="Y97" s="1"/>
  <c r="H97"/>
  <c r="K97" s="1"/>
  <c r="AP96"/>
  <c r="BA96" s="1"/>
  <c r="AD96"/>
  <c r="AG96" s="1"/>
  <c r="AJ96" s="1"/>
  <c r="AY96" s="1"/>
  <c r="S96"/>
  <c r="V96" s="1"/>
  <c r="Y96" s="1"/>
  <c r="H96"/>
  <c r="K96" s="1"/>
  <c r="E96"/>
  <c r="BA95"/>
  <c r="AS95"/>
  <c r="AV95" s="1"/>
  <c r="AD95"/>
  <c r="AG95" s="1"/>
  <c r="AJ95" s="1"/>
  <c r="AY95" s="1"/>
  <c r="S95"/>
  <c r="V95" s="1"/>
  <c r="Y95" s="1"/>
  <c r="H95"/>
  <c r="K95" s="1"/>
  <c r="BA94"/>
  <c r="AS94"/>
  <c r="AV94" s="1"/>
  <c r="AD94"/>
  <c r="AG94" s="1"/>
  <c r="AJ94" s="1"/>
  <c r="S94"/>
  <c r="V94" s="1"/>
  <c r="Y94" s="1"/>
  <c r="H94"/>
  <c r="K94" s="1"/>
  <c r="K98" s="1"/>
  <c r="AY93"/>
  <c r="AQ91"/>
  <c r="AS91" s="1"/>
  <c r="AV91" s="1"/>
  <c r="AE91"/>
  <c r="AG91" s="1"/>
  <c r="AJ91" s="1"/>
  <c r="AY91" s="1"/>
  <c r="T91"/>
  <c r="V91" s="1"/>
  <c r="Y91" s="1"/>
  <c r="H91"/>
  <c r="K91" s="1"/>
  <c r="AQ90"/>
  <c r="AS90" s="1"/>
  <c r="AV90" s="1"/>
  <c r="AE90"/>
  <c r="AG90" s="1"/>
  <c r="AJ90" s="1"/>
  <c r="AY90" s="1"/>
  <c r="T90"/>
  <c r="V90" s="1"/>
  <c r="Y90" s="1"/>
  <c r="H90"/>
  <c r="K90" s="1"/>
  <c r="AQ89"/>
  <c r="AS89" s="1"/>
  <c r="AV89" s="1"/>
  <c r="AV92" s="1"/>
  <c r="AE89"/>
  <c r="AG89" s="1"/>
  <c r="AJ89" s="1"/>
  <c r="AY89" s="1"/>
  <c r="T89"/>
  <c r="V89" s="1"/>
  <c r="Y89" s="1"/>
  <c r="H89"/>
  <c r="K89" s="1"/>
  <c r="K92" s="1"/>
  <c r="AZ87"/>
  <c r="AT86"/>
  <c r="AP86"/>
  <c r="AH86"/>
  <c r="W86"/>
  <c r="I86"/>
  <c r="H86"/>
  <c r="C86"/>
  <c r="AP85"/>
  <c r="BA85" s="1"/>
  <c r="AE85"/>
  <c r="AD85" s="1"/>
  <c r="AG85" s="1"/>
  <c r="AJ85" s="1"/>
  <c r="AY85" s="1"/>
  <c r="T85"/>
  <c r="S85" s="1"/>
  <c r="V85" s="1"/>
  <c r="Y85" s="1"/>
  <c r="H85"/>
  <c r="K85" s="1"/>
  <c r="C85"/>
  <c r="AP84"/>
  <c r="BA84" s="1"/>
  <c r="AD84"/>
  <c r="AG84" s="1"/>
  <c r="AJ84" s="1"/>
  <c r="AY84" s="1"/>
  <c r="V84"/>
  <c r="Y84" s="1"/>
  <c r="S84"/>
  <c r="H84"/>
  <c r="K84" s="1"/>
  <c r="C84"/>
  <c r="BA83"/>
  <c r="AP83"/>
  <c r="H83"/>
  <c r="K83" s="1"/>
  <c r="C83"/>
  <c r="C82"/>
  <c r="C81"/>
  <c r="AP80"/>
  <c r="BA80" s="1"/>
  <c r="H80"/>
  <c r="K80" s="1"/>
  <c r="C80"/>
  <c r="AQ79"/>
  <c r="AQ80" s="1"/>
  <c r="AQ83" s="1"/>
  <c r="AQ84" s="1"/>
  <c r="AQ85" s="1"/>
  <c r="AP79"/>
  <c r="AE79"/>
  <c r="AD79" s="1"/>
  <c r="AG79" s="1"/>
  <c r="AJ79" s="1"/>
  <c r="AY79" s="1"/>
  <c r="T79"/>
  <c r="T80" s="1"/>
  <c r="H79"/>
  <c r="K79" s="1"/>
  <c r="C79"/>
  <c r="AP78"/>
  <c r="AS78" s="1"/>
  <c r="AV78" s="1"/>
  <c r="AD78"/>
  <c r="AG78" s="1"/>
  <c r="AJ78" s="1"/>
  <c r="S78"/>
  <c r="V78" s="1"/>
  <c r="Y78" s="1"/>
  <c r="H78"/>
  <c r="K78" s="1"/>
  <c r="K87" s="1"/>
  <c r="C78"/>
  <c r="AZ76"/>
  <c r="AZ77" s="1"/>
  <c r="BA75"/>
  <c r="AP75"/>
  <c r="AP74"/>
  <c r="BA74" s="1"/>
  <c r="AQ73"/>
  <c r="AQ74" s="1"/>
  <c r="AP73"/>
  <c r="BA73" s="1"/>
  <c r="AE73"/>
  <c r="T73"/>
  <c r="AS72"/>
  <c r="AV72" s="1"/>
  <c r="AP72"/>
  <c r="BA72" s="1"/>
  <c r="AD72"/>
  <c r="AG72" s="1"/>
  <c r="AJ72" s="1"/>
  <c r="S72"/>
  <c r="V72" s="1"/>
  <c r="Y72" s="1"/>
  <c r="AV67"/>
  <c r="AS66"/>
  <c r="AV66" s="1"/>
  <c r="AG66"/>
  <c r="AJ66" s="1"/>
  <c r="AY66" s="1"/>
  <c r="V66"/>
  <c r="Y66" s="1"/>
  <c r="H66"/>
  <c r="K66" s="1"/>
  <c r="AR65"/>
  <c r="AS65" s="1"/>
  <c r="AV65" s="1"/>
  <c r="AF65"/>
  <c r="AG65" s="1"/>
  <c r="AJ65" s="1"/>
  <c r="AY65" s="1"/>
  <c r="U65"/>
  <c r="V65" s="1"/>
  <c r="Y65" s="1"/>
  <c r="G65"/>
  <c r="H65" s="1"/>
  <c r="K65" s="1"/>
  <c r="AR64"/>
  <c r="AS64" s="1"/>
  <c r="AV64" s="1"/>
  <c r="AF64"/>
  <c r="AG64" s="1"/>
  <c r="AJ64" s="1"/>
  <c r="AY64" s="1"/>
  <c r="U64"/>
  <c r="V64" s="1"/>
  <c r="Y64" s="1"/>
  <c r="G64"/>
  <c r="H64" s="1"/>
  <c r="K64" s="1"/>
  <c r="AR63"/>
  <c r="AS63" s="1"/>
  <c r="AV63" s="1"/>
  <c r="AF63"/>
  <c r="AG63" s="1"/>
  <c r="AJ63" s="1"/>
  <c r="AY63" s="1"/>
  <c r="U63"/>
  <c r="V63" s="1"/>
  <c r="Y63" s="1"/>
  <c r="G63"/>
  <c r="H63" s="1"/>
  <c r="K63" s="1"/>
  <c r="AR62"/>
  <c r="AS62" s="1"/>
  <c r="AV62" s="1"/>
  <c r="AF62"/>
  <c r="AG62" s="1"/>
  <c r="AJ62" s="1"/>
  <c r="AY62" s="1"/>
  <c r="U62"/>
  <c r="V62" s="1"/>
  <c r="Y62" s="1"/>
  <c r="G62"/>
  <c r="H62" s="1"/>
  <c r="K62" s="1"/>
  <c r="AR61"/>
  <c r="AS61" s="1"/>
  <c r="AV61" s="1"/>
  <c r="AR60"/>
  <c r="AS60" s="1"/>
  <c r="AV60" s="1"/>
  <c r="AR59"/>
  <c r="AS59" s="1"/>
  <c r="AV59" s="1"/>
  <c r="AR58"/>
  <c r="AS58" s="1"/>
  <c r="AV58" s="1"/>
  <c r="AR57"/>
  <c r="AS57" s="1"/>
  <c r="AV57" s="1"/>
  <c r="C54"/>
  <c r="BB50"/>
  <c r="BA50"/>
  <c r="AY50"/>
  <c r="BB49"/>
  <c r="AY49"/>
  <c r="BA48"/>
  <c r="AY48"/>
  <c r="AS48"/>
  <c r="AV48" s="1"/>
  <c r="BB48" s="1"/>
  <c r="BA47"/>
  <c r="AY47"/>
  <c r="BA46"/>
  <c r="AY46"/>
  <c r="D46"/>
  <c r="BA45"/>
  <c r="AR45"/>
  <c r="AR46" s="1"/>
  <c r="AE45"/>
  <c r="AG45" s="1"/>
  <c r="AJ45" s="1"/>
  <c r="AY45" s="1"/>
  <c r="T45"/>
  <c r="V45" s="1"/>
  <c r="Y45" s="1"/>
  <c r="H45"/>
  <c r="K45" s="1"/>
  <c r="D45"/>
  <c r="BA44"/>
  <c r="AS44"/>
  <c r="AV44" s="1"/>
  <c r="BB44" s="1"/>
  <c r="D44"/>
  <c r="BB43"/>
  <c r="BA43"/>
  <c r="D43"/>
  <c r="BA42"/>
  <c r="AS42"/>
  <c r="AV42" s="1"/>
  <c r="BB42" s="1"/>
  <c r="D42"/>
  <c r="BA41"/>
  <c r="AS41"/>
  <c r="AV41" s="1"/>
  <c r="BB41" s="1"/>
  <c r="D41"/>
  <c r="BA40"/>
  <c r="AS40"/>
  <c r="AV40" s="1"/>
  <c r="BB40" s="1"/>
  <c r="D40"/>
  <c r="BA39"/>
  <c r="D39"/>
  <c r="BA38"/>
  <c r="D38"/>
  <c r="BA37"/>
  <c r="D37"/>
  <c r="BA36"/>
  <c r="D36"/>
  <c r="BA35"/>
  <c r="D35"/>
  <c r="BA34"/>
  <c r="D34"/>
  <c r="BA33"/>
  <c r="D33"/>
  <c r="BA32"/>
  <c r="AR32"/>
  <c r="AR33" s="1"/>
  <c r="AR34" s="1"/>
  <c r="AR35" s="1"/>
  <c r="AR36" s="1"/>
  <c r="AR37" s="1"/>
  <c r="AR38" s="1"/>
  <c r="AR39" s="1"/>
  <c r="AS39" s="1"/>
  <c r="AV39" s="1"/>
  <c r="BB39" s="1"/>
  <c r="BA31"/>
  <c r="AS31"/>
  <c r="AV31" s="1"/>
  <c r="BB31" s="1"/>
  <c r="D31"/>
  <c r="BA30"/>
  <c r="D30"/>
  <c r="BA29"/>
  <c r="D29"/>
  <c r="BA28"/>
  <c r="D28"/>
  <c r="BA27"/>
  <c r="D27"/>
  <c r="BA26"/>
  <c r="AR26"/>
  <c r="AR27" s="1"/>
  <c r="D26"/>
  <c r="BA25"/>
  <c r="AS25"/>
  <c r="AV25" s="1"/>
  <c r="BI19"/>
  <c r="AY18"/>
  <c r="AI18"/>
  <c r="X18"/>
  <c r="J18"/>
  <c r="AY17"/>
  <c r="AI17"/>
  <c r="X17"/>
  <c r="J17"/>
  <c r="AY16"/>
  <c r="AI16"/>
  <c r="X16"/>
  <c r="J16"/>
  <c r="AY15"/>
  <c r="AI15"/>
  <c r="X15"/>
  <c r="J15"/>
  <c r="AY14"/>
  <c r="AI14"/>
  <c r="AF14"/>
  <c r="AF58" s="1"/>
  <c r="AG58" s="1"/>
  <c r="AJ58" s="1"/>
  <c r="AY58" s="1"/>
  <c r="X14"/>
  <c r="U14"/>
  <c r="U57" s="1"/>
  <c r="V57" s="1"/>
  <c r="Y57" s="1"/>
  <c r="J14"/>
  <c r="G14"/>
  <c r="G58" s="1"/>
  <c r="H58" s="1"/>
  <c r="K58" s="1"/>
  <c r="BA13"/>
  <c r="BA19" s="1"/>
  <c r="BB20" s="1"/>
  <c r="AY13"/>
  <c r="AU13"/>
  <c r="AQ13"/>
  <c r="AS13" s="1"/>
  <c r="AI13"/>
  <c r="AC13"/>
  <c r="AE13" s="1"/>
  <c r="AG13" s="1"/>
  <c r="X13"/>
  <c r="R13"/>
  <c r="T13" s="1"/>
  <c r="V13" s="1"/>
  <c r="J13"/>
  <c r="H13"/>
  <c r="BH12"/>
  <c r="BI14" s="1"/>
  <c r="BH11"/>
  <c r="BG11"/>
  <c r="BH10"/>
  <c r="AZ10"/>
  <c r="E129" i="19"/>
  <c r="E130"/>
  <c r="C142"/>
  <c r="C143"/>
  <c r="C144"/>
  <c r="C145"/>
  <c r="C146"/>
  <c r="C123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22"/>
  <c r="C104"/>
  <c r="C105"/>
  <c r="C106"/>
  <c r="C107"/>
  <c r="C108"/>
  <c r="C109"/>
  <c r="C110"/>
  <c r="C111"/>
  <c r="C112"/>
  <c r="C113"/>
  <c r="C103"/>
  <c r="C79"/>
  <c r="C80"/>
  <c r="C81"/>
  <c r="C82"/>
  <c r="C83"/>
  <c r="C84"/>
  <c r="C85"/>
  <c r="C86"/>
  <c r="C78"/>
  <c r="C54"/>
  <c r="C26"/>
  <c r="C27"/>
  <c r="C28"/>
  <c r="C29"/>
  <c r="C30"/>
  <c r="C32"/>
  <c r="C33"/>
  <c r="C34"/>
  <c r="C35"/>
  <c r="C36"/>
  <c r="C37"/>
  <c r="C38"/>
  <c r="C39"/>
  <c r="C40"/>
  <c r="C41"/>
  <c r="C42"/>
  <c r="C43"/>
  <c r="C44"/>
  <c r="C45"/>
  <c r="C46"/>
  <c r="C25"/>
  <c r="C13"/>
  <c r="AE145"/>
  <c r="AD145" s="1"/>
  <c r="AG145" s="1"/>
  <c r="AJ145" s="1"/>
  <c r="AY145" s="1"/>
  <c r="T145"/>
  <c r="S145" s="1"/>
  <c r="V145" s="1"/>
  <c r="Y145" s="1"/>
  <c r="H145"/>
  <c r="K145" s="1"/>
  <c r="AD144"/>
  <c r="AG144" s="1"/>
  <c r="AJ144" s="1"/>
  <c r="AY144" s="1"/>
  <c r="S144"/>
  <c r="V144" s="1"/>
  <c r="Y144" s="1"/>
  <c r="H144"/>
  <c r="K144" s="1"/>
  <c r="H141"/>
  <c r="K141" s="1"/>
  <c r="H140"/>
  <c r="K140" s="1"/>
  <c r="H139"/>
  <c r="K139" s="1"/>
  <c r="H138"/>
  <c r="K138" s="1"/>
  <c r="H137"/>
  <c r="K137" s="1"/>
  <c r="H136"/>
  <c r="K136" s="1"/>
  <c r="H135"/>
  <c r="K135" s="1"/>
  <c r="H134"/>
  <c r="K134" s="1"/>
  <c r="H133"/>
  <c r="K133" s="1"/>
  <c r="H132"/>
  <c r="K132" s="1"/>
  <c r="H131"/>
  <c r="K131" s="1"/>
  <c r="AT130"/>
  <c r="AH130"/>
  <c r="W130"/>
  <c r="I130"/>
  <c r="H130"/>
  <c r="H129"/>
  <c r="K129" s="1"/>
  <c r="H128"/>
  <c r="K128" s="1"/>
  <c r="H127"/>
  <c r="K127" s="1"/>
  <c r="H126"/>
  <c r="K126" s="1"/>
  <c r="H125"/>
  <c r="K125" s="1"/>
  <c r="H124"/>
  <c r="K124" s="1"/>
  <c r="AQ123"/>
  <c r="AS123" s="1"/>
  <c r="AV123" s="1"/>
  <c r="AZ123" s="1"/>
  <c r="AE123"/>
  <c r="AE124" s="1"/>
  <c r="T123"/>
  <c r="T124" s="1"/>
  <c r="H123"/>
  <c r="K123" s="1"/>
  <c r="AS122"/>
  <c r="AV122" s="1"/>
  <c r="AZ122" s="1"/>
  <c r="AD122"/>
  <c r="AG122" s="1"/>
  <c r="AJ122" s="1"/>
  <c r="AY122" s="1"/>
  <c r="S122"/>
  <c r="V122" s="1"/>
  <c r="Y122" s="1"/>
  <c r="H122"/>
  <c r="K122" s="1"/>
  <c r="AY119"/>
  <c r="AZ118"/>
  <c r="AY118"/>
  <c r="AT118"/>
  <c r="AY117"/>
  <c r="AT117"/>
  <c r="AY116"/>
  <c r="AT116"/>
  <c r="AY115"/>
  <c r="AT115"/>
  <c r="AS115"/>
  <c r="AQ115"/>
  <c r="AQ117" s="1"/>
  <c r="BA114"/>
  <c r="AY114"/>
  <c r="E114"/>
  <c r="C114"/>
  <c r="AT113"/>
  <c r="AH113"/>
  <c r="W113"/>
  <c r="I113"/>
  <c r="H113"/>
  <c r="AT112"/>
  <c r="AH112"/>
  <c r="W112"/>
  <c r="I112"/>
  <c r="H112"/>
  <c r="AT111"/>
  <c r="AQ111"/>
  <c r="AQ112" s="1"/>
  <c r="AP111"/>
  <c r="AH111"/>
  <c r="AE111"/>
  <c r="AE112" s="1"/>
  <c r="W111"/>
  <c r="T111"/>
  <c r="T112" s="1"/>
  <c r="I111"/>
  <c r="H111"/>
  <c r="AT110"/>
  <c r="AP110"/>
  <c r="AS110" s="1"/>
  <c r="AV110" s="1"/>
  <c r="BA110" s="1"/>
  <c r="AH110"/>
  <c r="AD110"/>
  <c r="AG110" s="1"/>
  <c r="W110"/>
  <c r="S110"/>
  <c r="V110" s="1"/>
  <c r="I110"/>
  <c r="H110"/>
  <c r="AY102"/>
  <c r="AP100"/>
  <c r="BA100" s="1"/>
  <c r="BA101" s="1"/>
  <c r="AD100"/>
  <c r="AG100" s="1"/>
  <c r="AJ100" s="1"/>
  <c r="S100"/>
  <c r="V100" s="1"/>
  <c r="Y100" s="1"/>
  <c r="Y101" s="1"/>
  <c r="H100"/>
  <c r="K100" s="1"/>
  <c r="K101" s="1"/>
  <c r="AY99"/>
  <c r="AP97"/>
  <c r="BA97" s="1"/>
  <c r="AD97"/>
  <c r="AG97" s="1"/>
  <c r="AJ97" s="1"/>
  <c r="AY97" s="1"/>
  <c r="S97"/>
  <c r="V97" s="1"/>
  <c r="Y97" s="1"/>
  <c r="H97"/>
  <c r="K97" s="1"/>
  <c r="AP96"/>
  <c r="BA96" s="1"/>
  <c r="AD96"/>
  <c r="AG96" s="1"/>
  <c r="AJ96" s="1"/>
  <c r="AY96" s="1"/>
  <c r="S96"/>
  <c r="V96" s="1"/>
  <c r="Y96" s="1"/>
  <c r="H96"/>
  <c r="K96" s="1"/>
  <c r="E96"/>
  <c r="BA95"/>
  <c r="AS95"/>
  <c r="AV95" s="1"/>
  <c r="AD95"/>
  <c r="AG95" s="1"/>
  <c r="AJ95" s="1"/>
  <c r="AY95" s="1"/>
  <c r="S95"/>
  <c r="V95" s="1"/>
  <c r="Y95" s="1"/>
  <c r="H95"/>
  <c r="K95" s="1"/>
  <c r="BA94"/>
  <c r="AS94"/>
  <c r="AV94" s="1"/>
  <c r="AD94"/>
  <c r="AG94" s="1"/>
  <c r="AJ94" s="1"/>
  <c r="S94"/>
  <c r="V94" s="1"/>
  <c r="Y94" s="1"/>
  <c r="H94"/>
  <c r="K94" s="1"/>
  <c r="K98" s="1"/>
  <c r="AY93"/>
  <c r="AQ91"/>
  <c r="AS91" s="1"/>
  <c r="AV91" s="1"/>
  <c r="AE91"/>
  <c r="AG91" s="1"/>
  <c r="AJ91" s="1"/>
  <c r="AY91" s="1"/>
  <c r="T91"/>
  <c r="V91" s="1"/>
  <c r="Y91" s="1"/>
  <c r="H91"/>
  <c r="K91" s="1"/>
  <c r="AQ90"/>
  <c r="AS90" s="1"/>
  <c r="AV90" s="1"/>
  <c r="AE90"/>
  <c r="AG90" s="1"/>
  <c r="AJ90" s="1"/>
  <c r="AY90" s="1"/>
  <c r="T90"/>
  <c r="V90" s="1"/>
  <c r="Y90" s="1"/>
  <c r="H90"/>
  <c r="K90" s="1"/>
  <c r="AQ89"/>
  <c r="AS89" s="1"/>
  <c r="AV89" s="1"/>
  <c r="AE89"/>
  <c r="AG89" s="1"/>
  <c r="AJ89" s="1"/>
  <c r="T89"/>
  <c r="V89" s="1"/>
  <c r="Y89" s="1"/>
  <c r="H89"/>
  <c r="K89" s="1"/>
  <c r="K92" s="1"/>
  <c r="AZ87"/>
  <c r="AT86"/>
  <c r="AP86"/>
  <c r="AH86"/>
  <c r="W86"/>
  <c r="I86"/>
  <c r="H86"/>
  <c r="AP85"/>
  <c r="BA85" s="1"/>
  <c r="AE85"/>
  <c r="T85"/>
  <c r="T86" s="1"/>
  <c r="S86" s="1"/>
  <c r="V86" s="1"/>
  <c r="H85"/>
  <c r="K85" s="1"/>
  <c r="BA84"/>
  <c r="AP84"/>
  <c r="AD84"/>
  <c r="AG84" s="1"/>
  <c r="AJ84" s="1"/>
  <c r="AY84" s="1"/>
  <c r="S84"/>
  <c r="V84" s="1"/>
  <c r="Y84" s="1"/>
  <c r="H84"/>
  <c r="K84" s="1"/>
  <c r="AP83"/>
  <c r="BA83" s="1"/>
  <c r="H83"/>
  <c r="K83" s="1"/>
  <c r="AP80"/>
  <c r="BA80" s="1"/>
  <c r="H80"/>
  <c r="K80" s="1"/>
  <c r="AQ79"/>
  <c r="AQ80" s="1"/>
  <c r="AP79"/>
  <c r="AE79"/>
  <c r="AE80" s="1"/>
  <c r="T79"/>
  <c r="T80" s="1"/>
  <c r="H79"/>
  <c r="K79" s="1"/>
  <c r="AP78"/>
  <c r="BA78" s="1"/>
  <c r="AD78"/>
  <c r="AG78" s="1"/>
  <c r="AJ78" s="1"/>
  <c r="S78"/>
  <c r="V78" s="1"/>
  <c r="Y78" s="1"/>
  <c r="H78"/>
  <c r="K78" s="1"/>
  <c r="K87" s="1"/>
  <c r="AZ76"/>
  <c r="AZ77" s="1"/>
  <c r="AP75"/>
  <c r="AP74"/>
  <c r="BA74" s="1"/>
  <c r="AQ73"/>
  <c r="AP73"/>
  <c r="BA73" s="1"/>
  <c r="AE73"/>
  <c r="AD73" s="1"/>
  <c r="AG73" s="1"/>
  <c r="AJ73" s="1"/>
  <c r="AY73" s="1"/>
  <c r="T73"/>
  <c r="S73" s="1"/>
  <c r="V73" s="1"/>
  <c r="Y73" s="1"/>
  <c r="AP72"/>
  <c r="BA72" s="1"/>
  <c r="AD72"/>
  <c r="AG72" s="1"/>
  <c r="AJ72" s="1"/>
  <c r="S72"/>
  <c r="V72" s="1"/>
  <c r="Y72" s="1"/>
  <c r="AV67"/>
  <c r="AS66"/>
  <c r="AV66" s="1"/>
  <c r="AG66"/>
  <c r="AJ66" s="1"/>
  <c r="AY66" s="1"/>
  <c r="V66"/>
  <c r="Y66" s="1"/>
  <c r="H66"/>
  <c r="K66" s="1"/>
  <c r="AR65"/>
  <c r="AS65" s="1"/>
  <c r="AV65" s="1"/>
  <c r="AF65"/>
  <c r="AG65" s="1"/>
  <c r="AJ65" s="1"/>
  <c r="AY65" s="1"/>
  <c r="U65"/>
  <c r="V65" s="1"/>
  <c r="Y65" s="1"/>
  <c r="G65"/>
  <c r="H65" s="1"/>
  <c r="K65" s="1"/>
  <c r="AR64"/>
  <c r="AS64" s="1"/>
  <c r="AV64" s="1"/>
  <c r="AF64"/>
  <c r="AG64" s="1"/>
  <c r="AJ64" s="1"/>
  <c r="AY64" s="1"/>
  <c r="U64"/>
  <c r="V64" s="1"/>
  <c r="Y64" s="1"/>
  <c r="G64"/>
  <c r="H64" s="1"/>
  <c r="K64" s="1"/>
  <c r="AR63"/>
  <c r="AS63" s="1"/>
  <c r="AV63" s="1"/>
  <c r="AF63"/>
  <c r="AG63" s="1"/>
  <c r="AJ63" s="1"/>
  <c r="AY63" s="1"/>
  <c r="U63"/>
  <c r="V63" s="1"/>
  <c r="Y63" s="1"/>
  <c r="G63"/>
  <c r="H63" s="1"/>
  <c r="K63" s="1"/>
  <c r="AR62"/>
  <c r="AS62" s="1"/>
  <c r="AV62" s="1"/>
  <c r="AF62"/>
  <c r="AG62" s="1"/>
  <c r="AJ62" s="1"/>
  <c r="AY62" s="1"/>
  <c r="U62"/>
  <c r="V62" s="1"/>
  <c r="Y62" s="1"/>
  <c r="G62"/>
  <c r="H62" s="1"/>
  <c r="K62" s="1"/>
  <c r="AR61"/>
  <c r="AS61" s="1"/>
  <c r="AV61" s="1"/>
  <c r="AR60"/>
  <c r="AS60" s="1"/>
  <c r="AV60" s="1"/>
  <c r="AR59"/>
  <c r="AS59" s="1"/>
  <c r="AV59" s="1"/>
  <c r="AR58"/>
  <c r="AS58" s="1"/>
  <c r="AV58" s="1"/>
  <c r="AR57"/>
  <c r="AS57" s="1"/>
  <c r="AV57" s="1"/>
  <c r="BB50"/>
  <c r="BA50"/>
  <c r="AY50"/>
  <c r="BB49"/>
  <c r="AY49"/>
  <c r="BA48"/>
  <c r="AY48"/>
  <c r="AS48"/>
  <c r="AV48" s="1"/>
  <c r="BB48" s="1"/>
  <c r="BA47"/>
  <c r="AY47"/>
  <c r="C47"/>
  <c r="BA46"/>
  <c r="AY46"/>
  <c r="D46"/>
  <c r="BA45"/>
  <c r="AR45"/>
  <c r="AR46" s="1"/>
  <c r="AE45"/>
  <c r="AG45" s="1"/>
  <c r="AJ45" s="1"/>
  <c r="AY45" s="1"/>
  <c r="T45"/>
  <c r="V45" s="1"/>
  <c r="Y45" s="1"/>
  <c r="H45"/>
  <c r="K45" s="1"/>
  <c r="D45"/>
  <c r="BA44"/>
  <c r="AS44"/>
  <c r="AV44" s="1"/>
  <c r="BB44" s="1"/>
  <c r="D44"/>
  <c r="BB43"/>
  <c r="BA43"/>
  <c r="D43"/>
  <c r="BA42"/>
  <c r="AS42"/>
  <c r="AV42" s="1"/>
  <c r="BB42" s="1"/>
  <c r="D42"/>
  <c r="BA41"/>
  <c r="AS41"/>
  <c r="AV41" s="1"/>
  <c r="BB41" s="1"/>
  <c r="D41"/>
  <c r="BA40"/>
  <c r="AS40"/>
  <c r="AV40" s="1"/>
  <c r="BB40" s="1"/>
  <c r="D40"/>
  <c r="BA39"/>
  <c r="D39"/>
  <c r="BA38"/>
  <c r="D38"/>
  <c r="BA37"/>
  <c r="D37"/>
  <c r="BA36"/>
  <c r="D36"/>
  <c r="BA35"/>
  <c r="D35"/>
  <c r="BA34"/>
  <c r="D34"/>
  <c r="BA33"/>
  <c r="D33"/>
  <c r="BA32"/>
  <c r="AR32"/>
  <c r="AR33" s="1"/>
  <c r="D32"/>
  <c r="BA31"/>
  <c r="AS31"/>
  <c r="AV31" s="1"/>
  <c r="BB31" s="1"/>
  <c r="D31"/>
  <c r="BA30"/>
  <c r="D30"/>
  <c r="BA29"/>
  <c r="D29"/>
  <c r="BA28"/>
  <c r="D28"/>
  <c r="BA27"/>
  <c r="D27"/>
  <c r="BA26"/>
  <c r="AR26"/>
  <c r="AS26" s="1"/>
  <c r="AV26" s="1"/>
  <c r="BB26" s="1"/>
  <c r="D26"/>
  <c r="BA25"/>
  <c r="AS25"/>
  <c r="AV25" s="1"/>
  <c r="D25"/>
  <c r="BI19"/>
  <c r="AY18"/>
  <c r="AI18"/>
  <c r="X18"/>
  <c r="J18"/>
  <c r="AY17"/>
  <c r="AI17"/>
  <c r="X17"/>
  <c r="J17"/>
  <c r="AY16"/>
  <c r="AI16"/>
  <c r="X16"/>
  <c r="J16"/>
  <c r="AY15"/>
  <c r="AI15"/>
  <c r="X15"/>
  <c r="J15"/>
  <c r="AY14"/>
  <c r="AI14"/>
  <c r="AF14"/>
  <c r="AF36" s="1"/>
  <c r="AE36" s="1"/>
  <c r="AG36" s="1"/>
  <c r="AJ36" s="1"/>
  <c r="AY36" s="1"/>
  <c r="X14"/>
  <c r="U14"/>
  <c r="U25" s="1"/>
  <c r="T25" s="1"/>
  <c r="V25" s="1"/>
  <c r="Y25" s="1"/>
  <c r="J14"/>
  <c r="G14"/>
  <c r="H14" s="1"/>
  <c r="BA13"/>
  <c r="BA19" s="1"/>
  <c r="AY13"/>
  <c r="AU13"/>
  <c r="AQ13"/>
  <c r="AS13" s="1"/>
  <c r="AI13"/>
  <c r="AC13"/>
  <c r="AE13" s="1"/>
  <c r="AG13" s="1"/>
  <c r="X13"/>
  <c r="R13"/>
  <c r="T13" s="1"/>
  <c r="V13" s="1"/>
  <c r="J13"/>
  <c r="H13"/>
  <c r="BH12"/>
  <c r="BI14" s="1"/>
  <c r="BI15" s="1"/>
  <c r="BG11"/>
  <c r="BH11" s="1"/>
  <c r="BH10"/>
  <c r="AZ10"/>
  <c r="C123" i="18"/>
  <c r="C124"/>
  <c r="C125"/>
  <c r="C126"/>
  <c r="C127"/>
  <c r="C128"/>
  <c r="C129"/>
  <c r="C130"/>
  <c r="C131"/>
  <c r="C132"/>
  <c r="C133"/>
  <c r="C134"/>
  <c r="C135"/>
  <c r="C136"/>
  <c r="C137"/>
  <c r="C138"/>
  <c r="C139"/>
  <c r="C140"/>
  <c r="C141"/>
  <c r="C142"/>
  <c r="C143"/>
  <c r="C144"/>
  <c r="C145"/>
  <c r="C122"/>
  <c r="C104"/>
  <c r="C105"/>
  <c r="C106"/>
  <c r="C107"/>
  <c r="C108"/>
  <c r="C109"/>
  <c r="C110"/>
  <c r="C111"/>
  <c r="C112"/>
  <c r="C113"/>
  <c r="C114"/>
  <c r="C103"/>
  <c r="C79"/>
  <c r="C80"/>
  <c r="C81"/>
  <c r="C82"/>
  <c r="C83"/>
  <c r="C84"/>
  <c r="C85"/>
  <c r="C86"/>
  <c r="C78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25"/>
  <c r="C26"/>
  <c r="C27"/>
  <c r="C28"/>
  <c r="C29"/>
  <c r="C30"/>
  <c r="C31"/>
  <c r="C32"/>
  <c r="C33"/>
  <c r="C34"/>
  <c r="C35"/>
  <c r="C36"/>
  <c r="C37"/>
  <c r="C38"/>
  <c r="C39"/>
  <c r="C40"/>
  <c r="C41"/>
  <c r="C42"/>
  <c r="C43"/>
  <c r="C44"/>
  <c r="C45"/>
  <c r="C46"/>
  <c r="C47"/>
  <c r="C25"/>
  <c r="C16"/>
  <c r="T167"/>
  <c r="U167" s="1"/>
  <c r="G167"/>
  <c r="T166"/>
  <c r="U166" s="1"/>
  <c r="G166"/>
  <c r="T164"/>
  <c r="U164" s="1"/>
  <c r="G164"/>
  <c r="AD163"/>
  <c r="T163"/>
  <c r="S163"/>
  <c r="F163"/>
  <c r="G163" s="1"/>
  <c r="H163" s="1"/>
  <c r="G162"/>
  <c r="T161"/>
  <c r="U161" s="1"/>
  <c r="G161"/>
  <c r="AD160"/>
  <c r="T160"/>
  <c r="S160"/>
  <c r="F160"/>
  <c r="G160" s="1"/>
  <c r="H160" s="1"/>
  <c r="T159"/>
  <c r="U159" s="1"/>
  <c r="G159"/>
  <c r="AZ158"/>
  <c r="AD158"/>
  <c r="T158"/>
  <c r="S158"/>
  <c r="F158"/>
  <c r="AN157"/>
  <c r="AN166" s="1"/>
  <c r="AN172" s="1"/>
  <c r="AR155" s="1"/>
  <c r="AC157"/>
  <c r="T157"/>
  <c r="U157" s="1"/>
  <c r="R157"/>
  <c r="G157"/>
  <c r="E157"/>
  <c r="AC156"/>
  <c r="T156"/>
  <c r="U156" s="1"/>
  <c r="R156"/>
  <c r="G156"/>
  <c r="E156"/>
  <c r="AZ155"/>
  <c r="T155"/>
  <c r="T149" s="1"/>
  <c r="G155"/>
  <c r="AZ153"/>
  <c r="AZ152"/>
  <c r="Y151"/>
  <c r="K151"/>
  <c r="Y150"/>
  <c r="K150"/>
  <c r="AE145"/>
  <c r="AD145" s="1"/>
  <c r="AG145" s="1"/>
  <c r="AJ145" s="1"/>
  <c r="AY145" s="1"/>
  <c r="T145"/>
  <c r="H145"/>
  <c r="K145" s="1"/>
  <c r="E145"/>
  <c r="AD144"/>
  <c r="AG144" s="1"/>
  <c r="AJ144" s="1"/>
  <c r="AY144" s="1"/>
  <c r="S144"/>
  <c r="V144" s="1"/>
  <c r="Y144" s="1"/>
  <c r="H144"/>
  <c r="K144" s="1"/>
  <c r="E144"/>
  <c r="E143"/>
  <c r="E142"/>
  <c r="H141"/>
  <c r="K141" s="1"/>
  <c r="H140"/>
  <c r="K140" s="1"/>
  <c r="H139"/>
  <c r="K139" s="1"/>
  <c r="H138"/>
  <c r="K138" s="1"/>
  <c r="H137"/>
  <c r="K137" s="1"/>
  <c r="H136"/>
  <c r="K136" s="1"/>
  <c r="H135"/>
  <c r="K135" s="1"/>
  <c r="H134"/>
  <c r="K134" s="1"/>
  <c r="H133"/>
  <c r="K133" s="1"/>
  <c r="H132"/>
  <c r="K132" s="1"/>
  <c r="H131"/>
  <c r="K131" s="1"/>
  <c r="AT130"/>
  <c r="AH130"/>
  <c r="W130"/>
  <c r="I130"/>
  <c r="H130"/>
  <c r="H129"/>
  <c r="K129" s="1"/>
  <c r="H128"/>
  <c r="K128" s="1"/>
  <c r="H127"/>
  <c r="K127" s="1"/>
  <c r="H126"/>
  <c r="K126" s="1"/>
  <c r="H125"/>
  <c r="K125" s="1"/>
  <c r="H124"/>
  <c r="K124" s="1"/>
  <c r="AQ123"/>
  <c r="AS123" s="1"/>
  <c r="AV123" s="1"/>
  <c r="AZ123" s="1"/>
  <c r="AE123"/>
  <c r="AE124" s="1"/>
  <c r="T123"/>
  <c r="T124" s="1"/>
  <c r="T125" s="1"/>
  <c r="H123"/>
  <c r="K123" s="1"/>
  <c r="AS122"/>
  <c r="AV122" s="1"/>
  <c r="AZ122" s="1"/>
  <c r="AD122"/>
  <c r="AG122" s="1"/>
  <c r="AJ122" s="1"/>
  <c r="S122"/>
  <c r="V122" s="1"/>
  <c r="Y122" s="1"/>
  <c r="H122"/>
  <c r="K122" s="1"/>
  <c r="AY119"/>
  <c r="AZ118"/>
  <c r="AY118"/>
  <c r="AT118"/>
  <c r="AY117"/>
  <c r="AT117"/>
  <c r="AY116"/>
  <c r="AT116"/>
  <c r="AY115"/>
  <c r="AT115"/>
  <c r="BA114"/>
  <c r="AY114"/>
  <c r="E114"/>
  <c r="AT113"/>
  <c r="AH113"/>
  <c r="W113"/>
  <c r="I113"/>
  <c r="H113"/>
  <c r="AT112"/>
  <c r="AH112"/>
  <c r="W112"/>
  <c r="I112"/>
  <c r="H112"/>
  <c r="AT111"/>
  <c r="AQ111"/>
  <c r="AQ112" s="1"/>
  <c r="AS112" s="1"/>
  <c r="AP111"/>
  <c r="AS111" s="1"/>
  <c r="AH111"/>
  <c r="AE111"/>
  <c r="AE112" s="1"/>
  <c r="AD112" s="1"/>
  <c r="AG112" s="1"/>
  <c r="AJ112" s="1"/>
  <c r="AY112" s="1"/>
  <c r="W111"/>
  <c r="T111"/>
  <c r="T112" s="1"/>
  <c r="I111"/>
  <c r="H111"/>
  <c r="AT110"/>
  <c r="AP110"/>
  <c r="AS110" s="1"/>
  <c r="AH110"/>
  <c r="AD110"/>
  <c r="AG110" s="1"/>
  <c r="W110"/>
  <c r="S110"/>
  <c r="V110" s="1"/>
  <c r="I110"/>
  <c r="H110"/>
  <c r="AY102"/>
  <c r="AP100"/>
  <c r="BA100" s="1"/>
  <c r="BA101" s="1"/>
  <c r="AD100"/>
  <c r="AG100" s="1"/>
  <c r="AJ100" s="1"/>
  <c r="S100"/>
  <c r="V100" s="1"/>
  <c r="Y100" s="1"/>
  <c r="Y101" s="1"/>
  <c r="H100"/>
  <c r="K100" s="1"/>
  <c r="K101" s="1"/>
  <c r="AY99"/>
  <c r="AP97"/>
  <c r="AS97" s="1"/>
  <c r="AV97" s="1"/>
  <c r="AD97"/>
  <c r="AG97" s="1"/>
  <c r="AJ97" s="1"/>
  <c r="AY97" s="1"/>
  <c r="S97"/>
  <c r="V97" s="1"/>
  <c r="Y97" s="1"/>
  <c r="H97"/>
  <c r="K97" s="1"/>
  <c r="AP96"/>
  <c r="BA96" s="1"/>
  <c r="AD96"/>
  <c r="AG96" s="1"/>
  <c r="AJ96" s="1"/>
  <c r="AY96" s="1"/>
  <c r="S96"/>
  <c r="V96" s="1"/>
  <c r="Y96" s="1"/>
  <c r="H96"/>
  <c r="K96" s="1"/>
  <c r="E96"/>
  <c r="BA95"/>
  <c r="AS95"/>
  <c r="AV95" s="1"/>
  <c r="AD95"/>
  <c r="AG95" s="1"/>
  <c r="AJ95" s="1"/>
  <c r="AY95" s="1"/>
  <c r="S95"/>
  <c r="V95" s="1"/>
  <c r="Y95" s="1"/>
  <c r="H95"/>
  <c r="K95" s="1"/>
  <c r="BA94"/>
  <c r="AS94"/>
  <c r="AV94" s="1"/>
  <c r="AD94"/>
  <c r="AG94" s="1"/>
  <c r="AJ94" s="1"/>
  <c r="S94"/>
  <c r="V94" s="1"/>
  <c r="Y94" s="1"/>
  <c r="H94"/>
  <c r="K94" s="1"/>
  <c r="K98" s="1"/>
  <c r="AY93"/>
  <c r="AQ91"/>
  <c r="AS91" s="1"/>
  <c r="AV91" s="1"/>
  <c r="AE91"/>
  <c r="AG91" s="1"/>
  <c r="AJ91" s="1"/>
  <c r="AY91" s="1"/>
  <c r="T91"/>
  <c r="V91" s="1"/>
  <c r="Y91" s="1"/>
  <c r="H91"/>
  <c r="K91" s="1"/>
  <c r="AQ90"/>
  <c r="AS90" s="1"/>
  <c r="AV90" s="1"/>
  <c r="AE90"/>
  <c r="AG90" s="1"/>
  <c r="AJ90" s="1"/>
  <c r="AY90" s="1"/>
  <c r="T90"/>
  <c r="V90" s="1"/>
  <c r="Y90" s="1"/>
  <c r="H90"/>
  <c r="K90" s="1"/>
  <c r="AQ89"/>
  <c r="AS89" s="1"/>
  <c r="AV89" s="1"/>
  <c r="AE89"/>
  <c r="AG89" s="1"/>
  <c r="AJ89" s="1"/>
  <c r="T89"/>
  <c r="V89" s="1"/>
  <c r="Y89" s="1"/>
  <c r="H89"/>
  <c r="K89" s="1"/>
  <c r="K92" s="1"/>
  <c r="AZ87"/>
  <c r="AT86"/>
  <c r="AP86"/>
  <c r="AH86"/>
  <c r="W86"/>
  <c r="I86"/>
  <c r="H86"/>
  <c r="AP85"/>
  <c r="BA85" s="1"/>
  <c r="AE85"/>
  <c r="AE86" s="1"/>
  <c r="AD86" s="1"/>
  <c r="AG86" s="1"/>
  <c r="AJ86" s="1"/>
  <c r="AY86" s="1"/>
  <c r="T85"/>
  <c r="T86" s="1"/>
  <c r="S86" s="1"/>
  <c r="V86" s="1"/>
  <c r="H85"/>
  <c r="K85" s="1"/>
  <c r="AP84"/>
  <c r="BA84" s="1"/>
  <c r="AD84"/>
  <c r="AG84" s="1"/>
  <c r="AJ84" s="1"/>
  <c r="AY84" s="1"/>
  <c r="S84"/>
  <c r="V84" s="1"/>
  <c r="Y84" s="1"/>
  <c r="H84"/>
  <c r="K84" s="1"/>
  <c r="AP83"/>
  <c r="BA83" s="1"/>
  <c r="H83"/>
  <c r="K83" s="1"/>
  <c r="AP80"/>
  <c r="BA80" s="1"/>
  <c r="H80"/>
  <c r="K80" s="1"/>
  <c r="AQ79"/>
  <c r="AQ80" s="1"/>
  <c r="AQ83" s="1"/>
  <c r="AP79"/>
  <c r="BA79" s="1"/>
  <c r="AE79"/>
  <c r="AE80" s="1"/>
  <c r="T79"/>
  <c r="T80" s="1"/>
  <c r="H79"/>
  <c r="K79" s="1"/>
  <c r="AP78"/>
  <c r="BA78" s="1"/>
  <c r="AD78"/>
  <c r="AG78" s="1"/>
  <c r="AJ78" s="1"/>
  <c r="S78"/>
  <c r="V78" s="1"/>
  <c r="Y78" s="1"/>
  <c r="H78"/>
  <c r="K78" s="1"/>
  <c r="K87" s="1"/>
  <c r="AZ76"/>
  <c r="AZ77" s="1"/>
  <c r="AP75"/>
  <c r="BA75" s="1"/>
  <c r="AP74"/>
  <c r="AQ73"/>
  <c r="AP73"/>
  <c r="BA73" s="1"/>
  <c r="AE73"/>
  <c r="T73"/>
  <c r="AP72"/>
  <c r="AS72" s="1"/>
  <c r="AV72" s="1"/>
  <c r="AD72"/>
  <c r="AG72" s="1"/>
  <c r="AJ72" s="1"/>
  <c r="S72"/>
  <c r="V72" s="1"/>
  <c r="Y72" s="1"/>
  <c r="AV67"/>
  <c r="AS66"/>
  <c r="AV66" s="1"/>
  <c r="AG66"/>
  <c r="AJ66" s="1"/>
  <c r="AY66" s="1"/>
  <c r="V66"/>
  <c r="Y66" s="1"/>
  <c r="H66"/>
  <c r="K66" s="1"/>
  <c r="AR65"/>
  <c r="AS65" s="1"/>
  <c r="AV65" s="1"/>
  <c r="AF65"/>
  <c r="AG65" s="1"/>
  <c r="AJ65" s="1"/>
  <c r="AY65" s="1"/>
  <c r="U65"/>
  <c r="V65" s="1"/>
  <c r="Y65" s="1"/>
  <c r="G65"/>
  <c r="H65" s="1"/>
  <c r="K65" s="1"/>
  <c r="AR64"/>
  <c r="AS64" s="1"/>
  <c r="AV64" s="1"/>
  <c r="AF64"/>
  <c r="AG64" s="1"/>
  <c r="AJ64" s="1"/>
  <c r="AY64" s="1"/>
  <c r="U64"/>
  <c r="V64" s="1"/>
  <c r="Y64" s="1"/>
  <c r="G64"/>
  <c r="H64" s="1"/>
  <c r="K64" s="1"/>
  <c r="AR63"/>
  <c r="AS63" s="1"/>
  <c r="AV63" s="1"/>
  <c r="AF63"/>
  <c r="AG63" s="1"/>
  <c r="AJ63" s="1"/>
  <c r="AY63" s="1"/>
  <c r="U63"/>
  <c r="V63" s="1"/>
  <c r="Y63" s="1"/>
  <c r="G63"/>
  <c r="H63" s="1"/>
  <c r="K63" s="1"/>
  <c r="AR62"/>
  <c r="AS62" s="1"/>
  <c r="AV62" s="1"/>
  <c r="AF62"/>
  <c r="AG62" s="1"/>
  <c r="AJ62" s="1"/>
  <c r="AY62" s="1"/>
  <c r="U62"/>
  <c r="V62" s="1"/>
  <c r="Y62" s="1"/>
  <c r="G62"/>
  <c r="H62" s="1"/>
  <c r="K62" s="1"/>
  <c r="AR61"/>
  <c r="AS61" s="1"/>
  <c r="AV61" s="1"/>
  <c r="AR60"/>
  <c r="AS60" s="1"/>
  <c r="AV60" s="1"/>
  <c r="AR59"/>
  <c r="AS59" s="1"/>
  <c r="AV59" s="1"/>
  <c r="AR58"/>
  <c r="AS58" s="1"/>
  <c r="AV58" s="1"/>
  <c r="AR57"/>
  <c r="AS57" s="1"/>
  <c r="AV57" s="1"/>
  <c r="BB50"/>
  <c r="BA50"/>
  <c r="AY50"/>
  <c r="BB49"/>
  <c r="AY49"/>
  <c r="BA48"/>
  <c r="AY48"/>
  <c r="AS48"/>
  <c r="AV48" s="1"/>
  <c r="BB48" s="1"/>
  <c r="BA47"/>
  <c r="AY47"/>
  <c r="BA46"/>
  <c r="AY46"/>
  <c r="BA45"/>
  <c r="AR45"/>
  <c r="AS45" s="1"/>
  <c r="AV45" s="1"/>
  <c r="BB45" s="1"/>
  <c r="AE45"/>
  <c r="AG45" s="1"/>
  <c r="AJ45" s="1"/>
  <c r="AY45" s="1"/>
  <c r="T45"/>
  <c r="V45" s="1"/>
  <c r="Y45" s="1"/>
  <c r="H45"/>
  <c r="K45" s="1"/>
  <c r="BA44"/>
  <c r="AS44"/>
  <c r="AV44" s="1"/>
  <c r="BB44" s="1"/>
  <c r="BB43"/>
  <c r="BA43"/>
  <c r="BA42"/>
  <c r="AS42"/>
  <c r="AV42" s="1"/>
  <c r="BB42" s="1"/>
  <c r="BA41"/>
  <c r="AS41"/>
  <c r="AV41" s="1"/>
  <c r="BB41" s="1"/>
  <c r="BA40"/>
  <c r="AS40"/>
  <c r="AV40" s="1"/>
  <c r="BB40" s="1"/>
  <c r="BA39"/>
  <c r="BA38"/>
  <c r="BA37"/>
  <c r="BA36"/>
  <c r="BA35"/>
  <c r="BA34"/>
  <c r="BA33"/>
  <c r="BA32"/>
  <c r="AR32"/>
  <c r="AR33" s="1"/>
  <c r="BA31"/>
  <c r="AS31"/>
  <c r="AV31" s="1"/>
  <c r="BB31" s="1"/>
  <c r="BA30"/>
  <c r="BA29"/>
  <c r="BA28"/>
  <c r="BA27"/>
  <c r="BA26"/>
  <c r="AR26"/>
  <c r="AR27" s="1"/>
  <c r="BA25"/>
  <c r="AS25"/>
  <c r="AV25" s="1"/>
  <c r="BI19"/>
  <c r="AY18"/>
  <c r="AI18"/>
  <c r="X18"/>
  <c r="J18"/>
  <c r="C18"/>
  <c r="AY17"/>
  <c r="AI17"/>
  <c r="X17"/>
  <c r="J17"/>
  <c r="C17"/>
  <c r="AY16"/>
  <c r="AI16"/>
  <c r="X16"/>
  <c r="J16"/>
  <c r="AY15"/>
  <c r="AI15"/>
  <c r="X15"/>
  <c r="J15"/>
  <c r="C15"/>
  <c r="AY14"/>
  <c r="AI14"/>
  <c r="AF14"/>
  <c r="AF58" s="1"/>
  <c r="AG58" s="1"/>
  <c r="AJ58" s="1"/>
  <c r="AY58" s="1"/>
  <c r="X14"/>
  <c r="U14"/>
  <c r="U36" s="1"/>
  <c r="T36" s="1"/>
  <c r="V36" s="1"/>
  <c r="Y36" s="1"/>
  <c r="J14"/>
  <c r="G14"/>
  <c r="G57" s="1"/>
  <c r="H57" s="1"/>
  <c r="K57" s="1"/>
  <c r="C14"/>
  <c r="BA13"/>
  <c r="BA19" s="1"/>
  <c r="AY13"/>
  <c r="AU13"/>
  <c r="AQ13"/>
  <c r="AS13" s="1"/>
  <c r="AI13"/>
  <c r="AC13"/>
  <c r="AE13" s="1"/>
  <c r="AG13" s="1"/>
  <c r="X13"/>
  <c r="R13"/>
  <c r="T13" s="1"/>
  <c r="V13" s="1"/>
  <c r="J13"/>
  <c r="H13"/>
  <c r="C13"/>
  <c r="BH12"/>
  <c r="BI14" s="1"/>
  <c r="BG11"/>
  <c r="BH11" s="1"/>
  <c r="BH10"/>
  <c r="AZ10"/>
  <c r="BB114" l="1"/>
  <c r="AS45" i="20"/>
  <c r="AV45" s="1"/>
  <c r="BB45" s="1"/>
  <c r="F168" i="18"/>
  <c r="F170" s="1"/>
  <c r="BB114" i="20"/>
  <c r="AS123"/>
  <c r="AV123" s="1"/>
  <c r="AZ123" s="1"/>
  <c r="AV111" i="18"/>
  <c r="BA111" s="1"/>
  <c r="BD14" i="20"/>
  <c r="AS100"/>
  <c r="AV100" s="1"/>
  <c r="AV101" s="1"/>
  <c r="AV110"/>
  <c r="BA110" s="1"/>
  <c r="AS73" i="19"/>
  <c r="AV73" s="1"/>
  <c r="Y92" i="20"/>
  <c r="AV112"/>
  <c r="BA112" s="1"/>
  <c r="AV115" i="19"/>
  <c r="BA115" s="1"/>
  <c r="BB115" s="1"/>
  <c r="Y13" i="20"/>
  <c r="AV13"/>
  <c r="AE86"/>
  <c r="AD86" s="1"/>
  <c r="AG86" s="1"/>
  <c r="AJ86" s="1"/>
  <c r="AY86" s="1"/>
  <c r="AJ98"/>
  <c r="Y110"/>
  <c r="AE86" i="19"/>
  <c r="AD86" s="1"/>
  <c r="AG86" s="1"/>
  <c r="AD85"/>
  <c r="AG85" s="1"/>
  <c r="AJ85" s="1"/>
  <c r="AY85" s="1"/>
  <c r="AZ85" s="1"/>
  <c r="S123" i="18"/>
  <c r="V123" s="1"/>
  <c r="Y123" s="1"/>
  <c r="Y98" i="20"/>
  <c r="BA86" i="19"/>
  <c r="Y110"/>
  <c r="BA78" i="20"/>
  <c r="S79"/>
  <c r="V79" s="1"/>
  <c r="Y79" s="1"/>
  <c r="AZ84"/>
  <c r="AZ85"/>
  <c r="AS96"/>
  <c r="AV96" s="1"/>
  <c r="AV98" s="1"/>
  <c r="AS97"/>
  <c r="AV97" s="1"/>
  <c r="K111"/>
  <c r="AS111"/>
  <c r="AV111" s="1"/>
  <c r="BA111" s="1"/>
  <c r="K112"/>
  <c r="BA51"/>
  <c r="AE80"/>
  <c r="AE83" s="1"/>
  <c r="AD83" s="1"/>
  <c r="AG83" s="1"/>
  <c r="AJ83" s="1"/>
  <c r="AY83" s="1"/>
  <c r="AZ83" s="1"/>
  <c r="AZ84" i="19"/>
  <c r="S85"/>
  <c r="V85" s="1"/>
  <c r="Y85" s="1"/>
  <c r="AJ110"/>
  <c r="AD123"/>
  <c r="AG123" s="1"/>
  <c r="AJ123" s="1"/>
  <c r="AY123" s="1"/>
  <c r="K13" i="20"/>
  <c r="U15"/>
  <c r="U59" s="1"/>
  <c r="V59" s="1"/>
  <c r="Y59" s="1"/>
  <c r="BA76"/>
  <c r="AZ78" s="1"/>
  <c r="S111"/>
  <c r="V111" s="1"/>
  <c r="Y111" s="1"/>
  <c r="AQ113"/>
  <c r="AS113" s="1"/>
  <c r="AV113" s="1"/>
  <c r="BA113" s="1"/>
  <c r="K130"/>
  <c r="AD79" i="18"/>
  <c r="AG79" s="1"/>
  <c r="AJ79" s="1"/>
  <c r="AY79" s="1"/>
  <c r="AJ110"/>
  <c r="K111"/>
  <c r="AD111"/>
  <c r="AG111" s="1"/>
  <c r="AJ111" s="1"/>
  <c r="AY111" s="1"/>
  <c r="BB111" s="1"/>
  <c r="K130"/>
  <c r="U160"/>
  <c r="V160" s="1"/>
  <c r="Y86" i="19"/>
  <c r="AD111"/>
  <c r="AG111" s="1"/>
  <c r="AJ111" s="1"/>
  <c r="AY111" s="1"/>
  <c r="AS111"/>
  <c r="K113"/>
  <c r="AJ13" i="20"/>
  <c r="AY19"/>
  <c r="AZ20" s="1"/>
  <c r="R14"/>
  <c r="T14" s="1"/>
  <c r="V14" s="1"/>
  <c r="Y14" s="1"/>
  <c r="BA98"/>
  <c r="K86"/>
  <c r="AS46"/>
  <c r="AV46" s="1"/>
  <c r="BB46" s="1"/>
  <c r="AR47"/>
  <c r="AS47" s="1"/>
  <c r="AV47" s="1"/>
  <c r="BB47" s="1"/>
  <c r="AS34"/>
  <c r="AV34" s="1"/>
  <c r="BB34" s="1"/>
  <c r="AS32"/>
  <c r="AV32" s="1"/>
  <c r="BB32" s="1"/>
  <c r="AS26"/>
  <c r="AV26" s="1"/>
  <c r="BB26" s="1"/>
  <c r="AR28"/>
  <c r="AS27"/>
  <c r="AV27" s="1"/>
  <c r="BB27" s="1"/>
  <c r="AQ86"/>
  <c r="AS86" s="1"/>
  <c r="AV86" s="1"/>
  <c r="AS85"/>
  <c r="AV85" s="1"/>
  <c r="BI15"/>
  <c r="BI17"/>
  <c r="AZ13"/>
  <c r="AZ22"/>
  <c r="BB25"/>
  <c r="AV19"/>
  <c r="BB13"/>
  <c r="AY72"/>
  <c r="AQ75"/>
  <c r="AS75" s="1"/>
  <c r="AV75" s="1"/>
  <c r="AS74"/>
  <c r="AV74" s="1"/>
  <c r="BA79"/>
  <c r="AZ79" s="1"/>
  <c r="AS79"/>
  <c r="AV79" s="1"/>
  <c r="AD80"/>
  <c r="AG80" s="1"/>
  <c r="AJ80" s="1"/>
  <c r="AY80" s="1"/>
  <c r="AZ80" s="1"/>
  <c r="T114"/>
  <c r="S113"/>
  <c r="V113" s="1"/>
  <c r="Y113" s="1"/>
  <c r="AS117"/>
  <c r="AV117" s="1"/>
  <c r="BA117" s="1"/>
  <c r="BB117" s="1"/>
  <c r="AQ118"/>
  <c r="AS118" s="1"/>
  <c r="AV118" s="1"/>
  <c r="BA118" s="1"/>
  <c r="BB118" s="1"/>
  <c r="AS124"/>
  <c r="AV124" s="1"/>
  <c r="AZ124" s="1"/>
  <c r="AQ125"/>
  <c r="G26"/>
  <c r="H26" s="1"/>
  <c r="K26" s="1"/>
  <c r="U26"/>
  <c r="T26" s="1"/>
  <c r="V26" s="1"/>
  <c r="Y26" s="1"/>
  <c r="AF26"/>
  <c r="AE26" s="1"/>
  <c r="AG26" s="1"/>
  <c r="AJ26" s="1"/>
  <c r="AY26" s="1"/>
  <c r="G27"/>
  <c r="H27" s="1"/>
  <c r="K27" s="1"/>
  <c r="U27"/>
  <c r="T27" s="1"/>
  <c r="V27" s="1"/>
  <c r="Y27" s="1"/>
  <c r="AF27"/>
  <c r="AE27" s="1"/>
  <c r="AG27" s="1"/>
  <c r="AJ27" s="1"/>
  <c r="AY27" s="1"/>
  <c r="G28"/>
  <c r="H28" s="1"/>
  <c r="K28" s="1"/>
  <c r="U28"/>
  <c r="T28" s="1"/>
  <c r="V28" s="1"/>
  <c r="Y28" s="1"/>
  <c r="AF28"/>
  <c r="AE28" s="1"/>
  <c r="AG28" s="1"/>
  <c r="AJ28" s="1"/>
  <c r="AY28" s="1"/>
  <c r="G29"/>
  <c r="H29" s="1"/>
  <c r="K29" s="1"/>
  <c r="U29"/>
  <c r="T29" s="1"/>
  <c r="V29" s="1"/>
  <c r="Y29" s="1"/>
  <c r="U30"/>
  <c r="T30" s="1"/>
  <c r="V30" s="1"/>
  <c r="Y30" s="1"/>
  <c r="G31"/>
  <c r="H31" s="1"/>
  <c r="K31" s="1"/>
  <c r="G32"/>
  <c r="H32" s="1"/>
  <c r="K32" s="1"/>
  <c r="AF33"/>
  <c r="AE33" s="1"/>
  <c r="AG33" s="1"/>
  <c r="AJ33" s="1"/>
  <c r="AY33" s="1"/>
  <c r="G35"/>
  <c r="H35" s="1"/>
  <c r="K35" s="1"/>
  <c r="U36"/>
  <c r="T36" s="1"/>
  <c r="V36" s="1"/>
  <c r="Y36" s="1"/>
  <c r="AS38"/>
  <c r="AV38" s="1"/>
  <c r="BB38" s="1"/>
  <c r="AF57"/>
  <c r="AG57" s="1"/>
  <c r="AJ57" s="1"/>
  <c r="AY57" s="1"/>
  <c r="AJ92"/>
  <c r="AY92" s="1"/>
  <c r="BA122"/>
  <c r="AY78"/>
  <c r="T83"/>
  <c r="S83" s="1"/>
  <c r="V83" s="1"/>
  <c r="Y83" s="1"/>
  <c r="S80"/>
  <c r="V80" s="1"/>
  <c r="Y80" s="1"/>
  <c r="AE125"/>
  <c r="AD124"/>
  <c r="AG124" s="1"/>
  <c r="AJ124" s="1"/>
  <c r="AY124" s="1"/>
  <c r="AC14"/>
  <c r="AE14" s="1"/>
  <c r="AG14" s="1"/>
  <c r="AJ14" s="1"/>
  <c r="AZ14" s="1"/>
  <c r="AF29"/>
  <c r="AE29" s="1"/>
  <c r="AG29" s="1"/>
  <c r="AJ29" s="1"/>
  <c r="AY29" s="1"/>
  <c r="AF30"/>
  <c r="AE30" s="1"/>
  <c r="AG30" s="1"/>
  <c r="AJ30" s="1"/>
  <c r="AY30" s="1"/>
  <c r="U31"/>
  <c r="T31" s="1"/>
  <c r="V31" s="1"/>
  <c r="Y31" s="1"/>
  <c r="U32"/>
  <c r="T32" s="1"/>
  <c r="V32" s="1"/>
  <c r="Y32" s="1"/>
  <c r="AS33"/>
  <c r="AV33" s="1"/>
  <c r="BB33" s="1"/>
  <c r="G34"/>
  <c r="H34" s="1"/>
  <c r="K34" s="1"/>
  <c r="U35"/>
  <c r="T35" s="1"/>
  <c r="V35" s="1"/>
  <c r="Y35" s="1"/>
  <c r="AF36"/>
  <c r="AE36" s="1"/>
  <c r="AG36" s="1"/>
  <c r="AJ36" s="1"/>
  <c r="AY36" s="1"/>
  <c r="AS37"/>
  <c r="AV37" s="1"/>
  <c r="BB37" s="1"/>
  <c r="G54"/>
  <c r="H54" s="1"/>
  <c r="K54" s="1"/>
  <c r="AS73"/>
  <c r="AV73" s="1"/>
  <c r="AJ101"/>
  <c r="AJ112"/>
  <c r="AY112" s="1"/>
  <c r="S112"/>
  <c r="V112" s="1"/>
  <c r="Y112" s="1"/>
  <c r="K113"/>
  <c r="AE113"/>
  <c r="AE74"/>
  <c r="AD73"/>
  <c r="AG73" s="1"/>
  <c r="AJ73" s="1"/>
  <c r="AY73" s="1"/>
  <c r="BB73" s="1"/>
  <c r="AY110"/>
  <c r="T125"/>
  <c r="S124"/>
  <c r="V124" s="1"/>
  <c r="Y124" s="1"/>
  <c r="H14"/>
  <c r="K14" s="1"/>
  <c r="G15"/>
  <c r="AF15"/>
  <c r="AF31"/>
  <c r="AE31" s="1"/>
  <c r="AG31" s="1"/>
  <c r="AJ31" s="1"/>
  <c r="AY31" s="1"/>
  <c r="AF32"/>
  <c r="AE32" s="1"/>
  <c r="AG32" s="1"/>
  <c r="AJ32" s="1"/>
  <c r="AY32" s="1"/>
  <c r="G33"/>
  <c r="H33" s="1"/>
  <c r="K33" s="1"/>
  <c r="U34"/>
  <c r="T34" s="1"/>
  <c r="V34" s="1"/>
  <c r="Y34" s="1"/>
  <c r="AF35"/>
  <c r="AE35" s="1"/>
  <c r="AG35" s="1"/>
  <c r="AJ35" s="1"/>
  <c r="AY35" s="1"/>
  <c r="AS36"/>
  <c r="AV36" s="1"/>
  <c r="BB36" s="1"/>
  <c r="U54"/>
  <c r="T54" s="1"/>
  <c r="V54" s="1"/>
  <c r="Y54" s="1"/>
  <c r="U58"/>
  <c r="V58" s="1"/>
  <c r="Y58" s="1"/>
  <c r="AS83"/>
  <c r="AV83" s="1"/>
  <c r="T74"/>
  <c r="S73"/>
  <c r="V73" s="1"/>
  <c r="Y73" s="1"/>
  <c r="BA86"/>
  <c r="AZ86" s="1"/>
  <c r="G25"/>
  <c r="H25" s="1"/>
  <c r="K25" s="1"/>
  <c r="U25"/>
  <c r="T25" s="1"/>
  <c r="V25" s="1"/>
  <c r="Y25" s="1"/>
  <c r="AF25"/>
  <c r="AE25" s="1"/>
  <c r="AG25" s="1"/>
  <c r="AJ25" s="1"/>
  <c r="G30"/>
  <c r="H30" s="1"/>
  <c r="K30" s="1"/>
  <c r="U33"/>
  <c r="T33" s="1"/>
  <c r="V33" s="1"/>
  <c r="Y33" s="1"/>
  <c r="AF34"/>
  <c r="AE34" s="1"/>
  <c r="AG34" s="1"/>
  <c r="AJ34" s="1"/>
  <c r="AY34" s="1"/>
  <c r="AS35"/>
  <c r="AV35" s="1"/>
  <c r="BB35" s="1"/>
  <c r="G36"/>
  <c r="H36" s="1"/>
  <c r="K36" s="1"/>
  <c r="AF54"/>
  <c r="AE54" s="1"/>
  <c r="AG54" s="1"/>
  <c r="AJ54" s="1"/>
  <c r="G57"/>
  <c r="H57" s="1"/>
  <c r="K57" s="1"/>
  <c r="AS115"/>
  <c r="AV115" s="1"/>
  <c r="BA115" s="1"/>
  <c r="BB115" s="1"/>
  <c r="T86"/>
  <c r="S86" s="1"/>
  <c r="V86" s="1"/>
  <c r="Y86" s="1"/>
  <c r="AY94"/>
  <c r="AY98" s="1"/>
  <c r="AD111"/>
  <c r="AG111" s="1"/>
  <c r="AJ111" s="1"/>
  <c r="AY111" s="1"/>
  <c r="AQ116"/>
  <c r="AS116" s="1"/>
  <c r="AV116" s="1"/>
  <c r="BA116" s="1"/>
  <c r="BB116" s="1"/>
  <c r="S123"/>
  <c r="V123" s="1"/>
  <c r="Y123" s="1"/>
  <c r="AD123"/>
  <c r="AG123" s="1"/>
  <c r="AJ123" s="1"/>
  <c r="AY123" s="1"/>
  <c r="BA123" s="1"/>
  <c r="AS80"/>
  <c r="AV80" s="1"/>
  <c r="AS84"/>
  <c r="AV84" s="1"/>
  <c r="BD14" i="19"/>
  <c r="AS79"/>
  <c r="AV79" s="1"/>
  <c r="K110"/>
  <c r="K120" s="1"/>
  <c r="K111"/>
  <c r="K130"/>
  <c r="AE74"/>
  <c r="AD74" s="1"/>
  <c r="AG74" s="1"/>
  <c r="AJ74" s="1"/>
  <c r="AY74" s="1"/>
  <c r="AD79"/>
  <c r="AG79" s="1"/>
  <c r="AJ79" s="1"/>
  <c r="AY79" s="1"/>
  <c r="AS100"/>
  <c r="AV100" s="1"/>
  <c r="AV101" s="1"/>
  <c r="K112"/>
  <c r="K86"/>
  <c r="BA51"/>
  <c r="T74"/>
  <c r="S74" s="1"/>
  <c r="V74" s="1"/>
  <c r="Y74" s="1"/>
  <c r="BA79"/>
  <c r="AV111"/>
  <c r="BA111" s="1"/>
  <c r="BA120" s="1"/>
  <c r="BA122"/>
  <c r="K13"/>
  <c r="AJ13"/>
  <c r="AY19"/>
  <c r="AZ20" s="1"/>
  <c r="K14"/>
  <c r="U15"/>
  <c r="U37" s="1"/>
  <c r="T37" s="1"/>
  <c r="V37" s="1"/>
  <c r="Y37" s="1"/>
  <c r="BB73"/>
  <c r="AQ74"/>
  <c r="AQ75" s="1"/>
  <c r="AS75" s="1"/>
  <c r="AV75" s="1"/>
  <c r="S79"/>
  <c r="V79" s="1"/>
  <c r="Y79" s="1"/>
  <c r="BB114"/>
  <c r="S123"/>
  <c r="V123" s="1"/>
  <c r="Y123" s="1"/>
  <c r="Y13"/>
  <c r="AV13"/>
  <c r="BB13" s="1"/>
  <c r="R14"/>
  <c r="T14" s="1"/>
  <c r="V14" s="1"/>
  <c r="Y14" s="1"/>
  <c r="AQ116"/>
  <c r="AS116" s="1"/>
  <c r="AV116" s="1"/>
  <c r="BA116" s="1"/>
  <c r="BB116" s="1"/>
  <c r="AZ13"/>
  <c r="AR34"/>
  <c r="AS33"/>
  <c r="AV33" s="1"/>
  <c r="BB33" s="1"/>
  <c r="BB20"/>
  <c r="U58"/>
  <c r="V58" s="1"/>
  <c r="Y58" s="1"/>
  <c r="U57"/>
  <c r="V57" s="1"/>
  <c r="Y57" s="1"/>
  <c r="U54"/>
  <c r="T54" s="1"/>
  <c r="V54" s="1"/>
  <c r="Y54" s="1"/>
  <c r="AY72"/>
  <c r="AE83"/>
  <c r="AD83" s="1"/>
  <c r="AG83" s="1"/>
  <c r="AJ83" s="1"/>
  <c r="AY83" s="1"/>
  <c r="AZ83" s="1"/>
  <c r="AD80"/>
  <c r="AG80" s="1"/>
  <c r="AJ80" s="1"/>
  <c r="AY80" s="1"/>
  <c r="AZ80" s="1"/>
  <c r="AE125"/>
  <c r="AD124"/>
  <c r="AG124" s="1"/>
  <c r="AJ124" s="1"/>
  <c r="AY124" s="1"/>
  <c r="AC14"/>
  <c r="AE14" s="1"/>
  <c r="AG14" s="1"/>
  <c r="AJ14" s="1"/>
  <c r="AZ14" s="1"/>
  <c r="AR27"/>
  <c r="G32"/>
  <c r="H32" s="1"/>
  <c r="K32" s="1"/>
  <c r="U32"/>
  <c r="T32" s="1"/>
  <c r="V32" s="1"/>
  <c r="Y32" s="1"/>
  <c r="AF32"/>
  <c r="AE32" s="1"/>
  <c r="AG32" s="1"/>
  <c r="AJ32" s="1"/>
  <c r="AY32" s="1"/>
  <c r="AS32"/>
  <c r="AV32" s="1"/>
  <c r="BB32" s="1"/>
  <c r="G33"/>
  <c r="H33" s="1"/>
  <c r="K33" s="1"/>
  <c r="U33"/>
  <c r="T33" s="1"/>
  <c r="V33" s="1"/>
  <c r="Y33" s="1"/>
  <c r="AF33"/>
  <c r="AE33" s="1"/>
  <c r="AG33" s="1"/>
  <c r="AJ33" s="1"/>
  <c r="AY33" s="1"/>
  <c r="G34"/>
  <c r="H34" s="1"/>
  <c r="K34" s="1"/>
  <c r="U34"/>
  <c r="T34" s="1"/>
  <c r="V34" s="1"/>
  <c r="Y34" s="1"/>
  <c r="AF34"/>
  <c r="AE34" s="1"/>
  <c r="AG34" s="1"/>
  <c r="AJ34" s="1"/>
  <c r="AY34" s="1"/>
  <c r="G35"/>
  <c r="H35" s="1"/>
  <c r="K35" s="1"/>
  <c r="U35"/>
  <c r="T35" s="1"/>
  <c r="V35" s="1"/>
  <c r="Y35" s="1"/>
  <c r="AF35"/>
  <c r="AE35" s="1"/>
  <c r="AG35" s="1"/>
  <c r="AJ35" s="1"/>
  <c r="AY35" s="1"/>
  <c r="G36"/>
  <c r="H36" s="1"/>
  <c r="K36" s="1"/>
  <c r="U36"/>
  <c r="T36" s="1"/>
  <c r="V36" s="1"/>
  <c r="Y36" s="1"/>
  <c r="AJ86"/>
  <c r="AY86" s="1"/>
  <c r="AZ86" s="1"/>
  <c r="AV92"/>
  <c r="Y98"/>
  <c r="BA98"/>
  <c r="U55"/>
  <c r="T55" s="1"/>
  <c r="V55" s="1"/>
  <c r="Y55" s="1"/>
  <c r="AS46"/>
  <c r="AV46" s="1"/>
  <c r="BB46" s="1"/>
  <c r="AR47"/>
  <c r="AS47" s="1"/>
  <c r="AV47" s="1"/>
  <c r="BB47" s="1"/>
  <c r="AY78"/>
  <c r="AS80"/>
  <c r="AV80" s="1"/>
  <c r="AQ83"/>
  <c r="AQ84" s="1"/>
  <c r="AJ92"/>
  <c r="AY92" s="1"/>
  <c r="AY89"/>
  <c r="AJ101"/>
  <c r="AY100"/>
  <c r="AY101" s="1"/>
  <c r="T113"/>
  <c r="S112"/>
  <c r="V112" s="1"/>
  <c r="Y112" s="1"/>
  <c r="G57"/>
  <c r="H57" s="1"/>
  <c r="K57" s="1"/>
  <c r="G58"/>
  <c r="H58" s="1"/>
  <c r="K58" s="1"/>
  <c r="G54"/>
  <c r="H54" s="1"/>
  <c r="K54" s="1"/>
  <c r="AF57"/>
  <c r="AG57" s="1"/>
  <c r="AJ57" s="1"/>
  <c r="AY57" s="1"/>
  <c r="AF58"/>
  <c r="AG58" s="1"/>
  <c r="AJ58" s="1"/>
  <c r="AY58" s="1"/>
  <c r="AF54"/>
  <c r="AE54" s="1"/>
  <c r="AG54" s="1"/>
  <c r="AJ54" s="1"/>
  <c r="AE113"/>
  <c r="AD112"/>
  <c r="AG112" s="1"/>
  <c r="AJ112" s="1"/>
  <c r="AY112" s="1"/>
  <c r="AS112"/>
  <c r="AV112" s="1"/>
  <c r="BA112" s="1"/>
  <c r="AQ113"/>
  <c r="AS117"/>
  <c r="AV117" s="1"/>
  <c r="BA117" s="1"/>
  <c r="BB117" s="1"/>
  <c r="AQ118"/>
  <c r="AS118" s="1"/>
  <c r="AV118" s="1"/>
  <c r="BA118" s="1"/>
  <c r="BB118" s="1"/>
  <c r="BI17"/>
  <c r="G25"/>
  <c r="H25" s="1"/>
  <c r="K25" s="1"/>
  <c r="AF25"/>
  <c r="AE25" s="1"/>
  <c r="AG25" s="1"/>
  <c r="AJ25" s="1"/>
  <c r="T83"/>
  <c r="S83" s="1"/>
  <c r="V83" s="1"/>
  <c r="Y83" s="1"/>
  <c r="S80"/>
  <c r="V80" s="1"/>
  <c r="Y80" s="1"/>
  <c r="AJ98"/>
  <c r="AY94"/>
  <c r="AY98" s="1"/>
  <c r="T125"/>
  <c r="S124"/>
  <c r="V124" s="1"/>
  <c r="Y124" s="1"/>
  <c r="G15"/>
  <c r="R15"/>
  <c r="T15" s="1"/>
  <c r="V15" s="1"/>
  <c r="Y15" s="1"/>
  <c r="AF15"/>
  <c r="BB25"/>
  <c r="G26"/>
  <c r="H26" s="1"/>
  <c r="K26" s="1"/>
  <c r="U26"/>
  <c r="T26" s="1"/>
  <c r="V26" s="1"/>
  <c r="Y26" s="1"/>
  <c r="AF26"/>
  <c r="AE26" s="1"/>
  <c r="AG26" s="1"/>
  <c r="AJ26" s="1"/>
  <c r="AY26" s="1"/>
  <c r="G27"/>
  <c r="H27" s="1"/>
  <c r="K27" s="1"/>
  <c r="U27"/>
  <c r="T27" s="1"/>
  <c r="V27" s="1"/>
  <c r="Y27" s="1"/>
  <c r="AF27"/>
  <c r="AE27" s="1"/>
  <c r="AG27" s="1"/>
  <c r="AJ27" s="1"/>
  <c r="AY27" s="1"/>
  <c r="G28"/>
  <c r="H28" s="1"/>
  <c r="K28" s="1"/>
  <c r="U28"/>
  <c r="T28" s="1"/>
  <c r="V28" s="1"/>
  <c r="Y28" s="1"/>
  <c r="AF28"/>
  <c r="AE28" s="1"/>
  <c r="AG28" s="1"/>
  <c r="AJ28" s="1"/>
  <c r="AY28" s="1"/>
  <c r="G29"/>
  <c r="H29" s="1"/>
  <c r="K29" s="1"/>
  <c r="U29"/>
  <c r="T29" s="1"/>
  <c r="V29" s="1"/>
  <c r="Y29" s="1"/>
  <c r="AF29"/>
  <c r="AE29" s="1"/>
  <c r="AG29" s="1"/>
  <c r="AJ29" s="1"/>
  <c r="AY29" s="1"/>
  <c r="G30"/>
  <c r="H30" s="1"/>
  <c r="K30" s="1"/>
  <c r="U30"/>
  <c r="T30" s="1"/>
  <c r="V30" s="1"/>
  <c r="Y30" s="1"/>
  <c r="AF30"/>
  <c r="AE30" s="1"/>
  <c r="AG30" s="1"/>
  <c r="AJ30" s="1"/>
  <c r="AY30" s="1"/>
  <c r="G31"/>
  <c r="H31" s="1"/>
  <c r="K31" s="1"/>
  <c r="U31"/>
  <c r="T31" s="1"/>
  <c r="V31" s="1"/>
  <c r="Y31" s="1"/>
  <c r="AF31"/>
  <c r="AE31" s="1"/>
  <c r="AG31" s="1"/>
  <c r="AJ31" s="1"/>
  <c r="AY31" s="1"/>
  <c r="Y92"/>
  <c r="BA123"/>
  <c r="AS45"/>
  <c r="AV45" s="1"/>
  <c r="BB45" s="1"/>
  <c r="AS72"/>
  <c r="AV72" s="1"/>
  <c r="AE75"/>
  <c r="AD75" s="1"/>
  <c r="AG75" s="1"/>
  <c r="AJ75" s="1"/>
  <c r="AY75" s="1"/>
  <c r="BA75"/>
  <c r="BA76" s="1"/>
  <c r="AZ78" s="1"/>
  <c r="AS78"/>
  <c r="AV78" s="1"/>
  <c r="AS96"/>
  <c r="AV96" s="1"/>
  <c r="AY110"/>
  <c r="S111"/>
  <c r="V111" s="1"/>
  <c r="Y111" s="1"/>
  <c r="AQ124"/>
  <c r="AS97"/>
  <c r="AV97" s="1"/>
  <c r="AS83"/>
  <c r="AV83" s="1"/>
  <c r="S79" i="18"/>
  <c r="V79" s="1"/>
  <c r="Y79" s="1"/>
  <c r="AD123"/>
  <c r="AG123" s="1"/>
  <c r="AJ123" s="1"/>
  <c r="AY123" s="1"/>
  <c r="BA123" s="1"/>
  <c r="AV13"/>
  <c r="AV19" s="1"/>
  <c r="K13"/>
  <c r="AJ13"/>
  <c r="AZ13" s="1"/>
  <c r="AV112"/>
  <c r="BA112" s="1"/>
  <c r="BB112" s="1"/>
  <c r="K110"/>
  <c r="K120" s="1"/>
  <c r="U163"/>
  <c r="V163" s="1"/>
  <c r="G15"/>
  <c r="G37" s="1"/>
  <c r="H37" s="1"/>
  <c r="K37" s="1"/>
  <c r="Y92"/>
  <c r="Y110"/>
  <c r="AV110"/>
  <c r="BA110" s="1"/>
  <c r="S124"/>
  <c r="V124" s="1"/>
  <c r="Y124" s="1"/>
  <c r="S145"/>
  <c r="V145" s="1"/>
  <c r="Y145" s="1"/>
  <c r="AY19"/>
  <c r="AZ20" s="1"/>
  <c r="BA51"/>
  <c r="AS32"/>
  <c r="AV32" s="1"/>
  <c r="BB32" s="1"/>
  <c r="S85"/>
  <c r="V85" s="1"/>
  <c r="Y85" s="1"/>
  <c r="AV92"/>
  <c r="AE83"/>
  <c r="AD83" s="1"/>
  <c r="AG83" s="1"/>
  <c r="AJ83" s="1"/>
  <c r="AY83" s="1"/>
  <c r="AZ83" s="1"/>
  <c r="AD80"/>
  <c r="AG80" s="1"/>
  <c r="AJ80" s="1"/>
  <c r="AY80" s="1"/>
  <c r="AE125"/>
  <c r="AD125" s="1"/>
  <c r="AG125" s="1"/>
  <c r="AJ125" s="1"/>
  <c r="AY125" s="1"/>
  <c r="AD124"/>
  <c r="AG124" s="1"/>
  <c r="AJ124" s="1"/>
  <c r="AY124" s="1"/>
  <c r="AZ79"/>
  <c r="T83"/>
  <c r="S83" s="1"/>
  <c r="V83" s="1"/>
  <c r="Y83" s="1"/>
  <c r="S80"/>
  <c r="V80" s="1"/>
  <c r="Y80" s="1"/>
  <c r="AS26"/>
  <c r="AV26" s="1"/>
  <c r="BB26" s="1"/>
  <c r="AS79"/>
  <c r="AV79" s="1"/>
  <c r="S168"/>
  <c r="S170" s="1"/>
  <c r="AF15"/>
  <c r="AF37" s="1"/>
  <c r="AE37" s="1"/>
  <c r="AG37" s="1"/>
  <c r="AJ37" s="1"/>
  <c r="AY37" s="1"/>
  <c r="BA86"/>
  <c r="BA87" s="1"/>
  <c r="AS100"/>
  <c r="AV100" s="1"/>
  <c r="AV101" s="1"/>
  <c r="AZ84"/>
  <c r="AQ124"/>
  <c r="AS124" s="1"/>
  <c r="AV124" s="1"/>
  <c r="AZ124" s="1"/>
  <c r="AZ161"/>
  <c r="AD168"/>
  <c r="AD170" s="1"/>
  <c r="BD14"/>
  <c r="Y13"/>
  <c r="AC14"/>
  <c r="AE14" s="1"/>
  <c r="AG14" s="1"/>
  <c r="AS78"/>
  <c r="AV78" s="1"/>
  <c r="AD85"/>
  <c r="AG85" s="1"/>
  <c r="AJ85" s="1"/>
  <c r="AY85" s="1"/>
  <c r="AZ85" s="1"/>
  <c r="K86"/>
  <c r="K112"/>
  <c r="K113"/>
  <c r="BB25"/>
  <c r="BB13"/>
  <c r="BI15"/>
  <c r="BI17"/>
  <c r="BB20"/>
  <c r="AR28"/>
  <c r="AS27"/>
  <c r="AV27" s="1"/>
  <c r="BB27" s="1"/>
  <c r="AS33"/>
  <c r="AV33" s="1"/>
  <c r="BB33" s="1"/>
  <c r="AR34"/>
  <c r="AE156"/>
  <c r="AF156" s="1"/>
  <c r="T113"/>
  <c r="S112"/>
  <c r="V112" s="1"/>
  <c r="Y112" s="1"/>
  <c r="H14"/>
  <c r="K14" s="1"/>
  <c r="U15"/>
  <c r="AR46"/>
  <c r="G55"/>
  <c r="H55" s="1"/>
  <c r="K55" s="1"/>
  <c r="U57"/>
  <c r="V57" s="1"/>
  <c r="Y57" s="1"/>
  <c r="G58"/>
  <c r="H58" s="1"/>
  <c r="K58" s="1"/>
  <c r="AZ80"/>
  <c r="AD73"/>
  <c r="AG73" s="1"/>
  <c r="AJ73" s="1"/>
  <c r="AY73" s="1"/>
  <c r="BB73" s="1"/>
  <c r="AE74"/>
  <c r="AQ84"/>
  <c r="AS83"/>
  <c r="AV83" s="1"/>
  <c r="AJ92"/>
  <c r="AY92" s="1"/>
  <c r="AY89"/>
  <c r="AJ101"/>
  <c r="AY100"/>
  <c r="AY101" s="1"/>
  <c r="AY110"/>
  <c r="AY122"/>
  <c r="R14"/>
  <c r="T14" s="1"/>
  <c r="V14" s="1"/>
  <c r="Y14" s="1"/>
  <c r="G25"/>
  <c r="H25" s="1"/>
  <c r="K25" s="1"/>
  <c r="U25"/>
  <c r="T25" s="1"/>
  <c r="V25" s="1"/>
  <c r="Y25" s="1"/>
  <c r="AF25"/>
  <c r="AE25" s="1"/>
  <c r="AG25" s="1"/>
  <c r="AJ25" s="1"/>
  <c r="G54"/>
  <c r="H54" s="1"/>
  <c r="K54" s="1"/>
  <c r="U54"/>
  <c r="T54" s="1"/>
  <c r="V54" s="1"/>
  <c r="Y54" s="1"/>
  <c r="AF54"/>
  <c r="AE54" s="1"/>
  <c r="AG54" s="1"/>
  <c r="AJ54" s="1"/>
  <c r="AF57"/>
  <c r="AG57" s="1"/>
  <c r="AJ57" s="1"/>
  <c r="AY57" s="1"/>
  <c r="Y98"/>
  <c r="AY72"/>
  <c r="S73"/>
  <c r="V73" s="1"/>
  <c r="Y73" s="1"/>
  <c r="T74"/>
  <c r="G26"/>
  <c r="H26" s="1"/>
  <c r="K26" s="1"/>
  <c r="U26"/>
  <c r="T26" s="1"/>
  <c r="V26" s="1"/>
  <c r="Y26" s="1"/>
  <c r="AF26"/>
  <c r="AE26" s="1"/>
  <c r="AG26" s="1"/>
  <c r="AJ26" s="1"/>
  <c r="AY26" s="1"/>
  <c r="G27"/>
  <c r="H27" s="1"/>
  <c r="K27" s="1"/>
  <c r="U27"/>
  <c r="T27" s="1"/>
  <c r="V27" s="1"/>
  <c r="Y27" s="1"/>
  <c r="AF27"/>
  <c r="AE27" s="1"/>
  <c r="AG27" s="1"/>
  <c r="AJ27" s="1"/>
  <c r="AY27" s="1"/>
  <c r="G28"/>
  <c r="H28" s="1"/>
  <c r="K28" s="1"/>
  <c r="U28"/>
  <c r="T28" s="1"/>
  <c r="V28" s="1"/>
  <c r="Y28" s="1"/>
  <c r="AF28"/>
  <c r="AE28" s="1"/>
  <c r="AG28" s="1"/>
  <c r="AJ28" s="1"/>
  <c r="AY28" s="1"/>
  <c r="G29"/>
  <c r="H29" s="1"/>
  <c r="K29" s="1"/>
  <c r="U29"/>
  <c r="T29" s="1"/>
  <c r="V29" s="1"/>
  <c r="Y29" s="1"/>
  <c r="AF29"/>
  <c r="AE29" s="1"/>
  <c r="AG29" s="1"/>
  <c r="AJ29" s="1"/>
  <c r="AY29" s="1"/>
  <c r="G30"/>
  <c r="H30" s="1"/>
  <c r="K30" s="1"/>
  <c r="U30"/>
  <c r="T30" s="1"/>
  <c r="V30" s="1"/>
  <c r="Y30" s="1"/>
  <c r="AF30"/>
  <c r="AE30" s="1"/>
  <c r="AG30" s="1"/>
  <c r="AJ30" s="1"/>
  <c r="AY30" s="1"/>
  <c r="G31"/>
  <c r="H31" s="1"/>
  <c r="K31" s="1"/>
  <c r="U31"/>
  <c r="T31" s="1"/>
  <c r="V31" s="1"/>
  <c r="Y31" s="1"/>
  <c r="AF31"/>
  <c r="AE31" s="1"/>
  <c r="AG31" s="1"/>
  <c r="AJ31" s="1"/>
  <c r="AY31" s="1"/>
  <c r="U58"/>
  <c r="V58" s="1"/>
  <c r="Y58" s="1"/>
  <c r="Y86"/>
  <c r="AS73"/>
  <c r="AV73" s="1"/>
  <c r="AQ74"/>
  <c r="AQ75" s="1"/>
  <c r="AS75" s="1"/>
  <c r="AV75" s="1"/>
  <c r="AY78"/>
  <c r="AY94"/>
  <c r="AY98" s="1"/>
  <c r="AJ98"/>
  <c r="T126"/>
  <c r="S125"/>
  <c r="V125" s="1"/>
  <c r="Y125" s="1"/>
  <c r="G16"/>
  <c r="AF16"/>
  <c r="G32"/>
  <c r="H32" s="1"/>
  <c r="K32" s="1"/>
  <c r="U32"/>
  <c r="T32" s="1"/>
  <c r="V32" s="1"/>
  <c r="Y32" s="1"/>
  <c r="AF32"/>
  <c r="AE32" s="1"/>
  <c r="AG32" s="1"/>
  <c r="AJ32" s="1"/>
  <c r="AY32" s="1"/>
  <c r="G33"/>
  <c r="H33" s="1"/>
  <c r="K33" s="1"/>
  <c r="U33"/>
  <c r="T33" s="1"/>
  <c r="V33" s="1"/>
  <c r="Y33" s="1"/>
  <c r="AF33"/>
  <c r="AE33" s="1"/>
  <c r="AG33" s="1"/>
  <c r="AJ33" s="1"/>
  <c r="AY33" s="1"/>
  <c r="G34"/>
  <c r="H34" s="1"/>
  <c r="K34" s="1"/>
  <c r="U34"/>
  <c r="T34" s="1"/>
  <c r="V34" s="1"/>
  <c r="Y34" s="1"/>
  <c r="AF34"/>
  <c r="AE34" s="1"/>
  <c r="AG34" s="1"/>
  <c r="AJ34" s="1"/>
  <c r="AY34" s="1"/>
  <c r="G35"/>
  <c r="H35" s="1"/>
  <c r="K35" s="1"/>
  <c r="U35"/>
  <c r="T35" s="1"/>
  <c r="V35" s="1"/>
  <c r="Y35" s="1"/>
  <c r="AF35"/>
  <c r="AE35" s="1"/>
  <c r="AG35" s="1"/>
  <c r="AJ35" s="1"/>
  <c r="AY35" s="1"/>
  <c r="G36"/>
  <c r="H36" s="1"/>
  <c r="K36" s="1"/>
  <c r="AF36"/>
  <c r="AE36" s="1"/>
  <c r="AG36" s="1"/>
  <c r="AJ36" s="1"/>
  <c r="AY36" s="1"/>
  <c r="BA72"/>
  <c r="BA74"/>
  <c r="AS80"/>
  <c r="AV80" s="1"/>
  <c r="BA97"/>
  <c r="BA98" s="1"/>
  <c r="AE113"/>
  <c r="AQ113"/>
  <c r="G158"/>
  <c r="H158" s="1"/>
  <c r="U158"/>
  <c r="V158" s="1"/>
  <c r="AE161"/>
  <c r="AF161" s="1"/>
  <c r="AS96"/>
  <c r="AV96" s="1"/>
  <c r="AV98" s="1"/>
  <c r="U155"/>
  <c r="S111"/>
  <c r="V111" s="1"/>
  <c r="Y111" s="1"/>
  <c r="Y87" i="19" l="1"/>
  <c r="AF59" i="18"/>
  <c r="AG59" s="1"/>
  <c r="AJ59" s="1"/>
  <c r="AY59" s="1"/>
  <c r="AE126"/>
  <c r="BA120"/>
  <c r="U55" i="20"/>
  <c r="T55" s="1"/>
  <c r="V55" s="1"/>
  <c r="Y55" s="1"/>
  <c r="BA124"/>
  <c r="AY87"/>
  <c r="AZ88" s="1"/>
  <c r="G59" i="18"/>
  <c r="H59" s="1"/>
  <c r="K59" s="1"/>
  <c r="H15"/>
  <c r="K15" s="1"/>
  <c r="T75" i="19"/>
  <c r="S75" s="1"/>
  <c r="V75" s="1"/>
  <c r="Y75" s="1"/>
  <c r="Y76" s="1"/>
  <c r="U16"/>
  <c r="U59"/>
  <c r="V59" s="1"/>
  <c r="Y59" s="1"/>
  <c r="AV19"/>
  <c r="BA87"/>
  <c r="BB87" s="1"/>
  <c r="BB86" s="1"/>
  <c r="BB112" i="20"/>
  <c r="Y87" i="18"/>
  <c r="BA124"/>
  <c r="AQ114" i="20"/>
  <c r="AV76"/>
  <c r="AQ125" i="18"/>
  <c r="AS125" s="1"/>
  <c r="AV125" s="1"/>
  <c r="AJ87"/>
  <c r="AZ22"/>
  <c r="AZ22" i="19"/>
  <c r="BB111" i="20"/>
  <c r="BA120"/>
  <c r="Y120"/>
  <c r="AJ87"/>
  <c r="BB111" i="19"/>
  <c r="S52" i="17"/>
  <c r="E100" i="19"/>
  <c r="AV87" i="20"/>
  <c r="AC15" i="18"/>
  <c r="AE15" s="1"/>
  <c r="AG15" s="1"/>
  <c r="AJ15" s="1"/>
  <c r="AZ15" s="1"/>
  <c r="BD15"/>
  <c r="AJ87" i="19"/>
  <c r="U37" i="20"/>
  <c r="T37" s="1"/>
  <c r="V37" s="1"/>
  <c r="Y37" s="1"/>
  <c r="R15"/>
  <c r="T15" s="1"/>
  <c r="V15" s="1"/>
  <c r="Y15" s="1"/>
  <c r="Y87"/>
  <c r="AY87" i="18"/>
  <c r="BB87" s="1"/>
  <c r="BB86" s="1"/>
  <c r="AE162" s="1"/>
  <c r="AF162" s="1"/>
  <c r="AZ86"/>
  <c r="AF55"/>
  <c r="AE55" s="1"/>
  <c r="AG55" s="1"/>
  <c r="AJ55" s="1"/>
  <c r="AY55" s="1"/>
  <c r="BE14"/>
  <c r="AZ79" i="19"/>
  <c r="AY87"/>
  <c r="AZ88" s="1"/>
  <c r="AS74"/>
  <c r="AV74" s="1"/>
  <c r="AV76" s="1"/>
  <c r="U16" i="20"/>
  <c r="U17" s="1"/>
  <c r="S74"/>
  <c r="V74" s="1"/>
  <c r="Y74" s="1"/>
  <c r="T75"/>
  <c r="S75" s="1"/>
  <c r="V75" s="1"/>
  <c r="Y75" s="1"/>
  <c r="G37"/>
  <c r="H37" s="1"/>
  <c r="K37" s="1"/>
  <c r="G59"/>
  <c r="H59" s="1"/>
  <c r="K59" s="1"/>
  <c r="G16"/>
  <c r="H15"/>
  <c r="K15" s="1"/>
  <c r="G55"/>
  <c r="H55" s="1"/>
  <c r="K55" s="1"/>
  <c r="AE114"/>
  <c r="AD113"/>
  <c r="AG113" s="1"/>
  <c r="AJ113" s="1"/>
  <c r="AY113" s="1"/>
  <c r="AR29"/>
  <c r="AS28"/>
  <c r="AV28" s="1"/>
  <c r="BE14"/>
  <c r="BB98"/>
  <c r="AZ99"/>
  <c r="T126"/>
  <c r="S125"/>
  <c r="V125" s="1"/>
  <c r="Y125" s="1"/>
  <c r="AD74"/>
  <c r="AG74" s="1"/>
  <c r="AJ74" s="1"/>
  <c r="AY74" s="1"/>
  <c r="AE75"/>
  <c r="AD75" s="1"/>
  <c r="AG75" s="1"/>
  <c r="AJ75" s="1"/>
  <c r="AY75" s="1"/>
  <c r="BB72"/>
  <c r="AV120"/>
  <c r="AY54"/>
  <c r="AF55"/>
  <c r="AE55" s="1"/>
  <c r="AG55" s="1"/>
  <c r="AJ55" s="1"/>
  <c r="AY55" s="1"/>
  <c r="AF59"/>
  <c r="AG59" s="1"/>
  <c r="AJ59" s="1"/>
  <c r="AY59" s="1"/>
  <c r="AF16"/>
  <c r="AF37"/>
  <c r="AE37" s="1"/>
  <c r="AG37" s="1"/>
  <c r="AJ37" s="1"/>
  <c r="AY37" s="1"/>
  <c r="BD15"/>
  <c r="AC15"/>
  <c r="AE15" s="1"/>
  <c r="AG15" s="1"/>
  <c r="AJ15" s="1"/>
  <c r="AZ15" s="1"/>
  <c r="AS125"/>
  <c r="AV125" s="1"/>
  <c r="AZ125" s="1"/>
  <c r="AQ126"/>
  <c r="BA121"/>
  <c r="BA87"/>
  <c r="BB87" s="1"/>
  <c r="BB86" s="1"/>
  <c r="AY25"/>
  <c r="AY120"/>
  <c r="BB110"/>
  <c r="AE126"/>
  <c r="AD125"/>
  <c r="AG125" s="1"/>
  <c r="AJ125" s="1"/>
  <c r="AY125" s="1"/>
  <c r="AV98" i="19"/>
  <c r="BB75"/>
  <c r="AF59"/>
  <c r="AG59" s="1"/>
  <c r="AJ59" s="1"/>
  <c r="AY59" s="1"/>
  <c r="AF55"/>
  <c r="AE55" s="1"/>
  <c r="AG55" s="1"/>
  <c r="AJ55" s="1"/>
  <c r="AY55" s="1"/>
  <c r="BD15"/>
  <c r="AC15"/>
  <c r="AE15" s="1"/>
  <c r="AG15" s="1"/>
  <c r="AJ15" s="1"/>
  <c r="AZ15" s="1"/>
  <c r="AF37"/>
  <c r="AE37" s="1"/>
  <c r="AG37" s="1"/>
  <c r="AJ37" s="1"/>
  <c r="AY37" s="1"/>
  <c r="AF16"/>
  <c r="S125"/>
  <c r="V125" s="1"/>
  <c r="Y125" s="1"/>
  <c r="T126"/>
  <c r="AQ114"/>
  <c r="AS113"/>
  <c r="AV113" s="1"/>
  <c r="AY54"/>
  <c r="AJ76"/>
  <c r="AQ125"/>
  <c r="AS124"/>
  <c r="AV124" s="1"/>
  <c r="AZ124" s="1"/>
  <c r="BA124" s="1"/>
  <c r="BB110"/>
  <c r="AY120"/>
  <c r="AE114"/>
  <c r="AD113"/>
  <c r="AG113" s="1"/>
  <c r="AJ113" s="1"/>
  <c r="BB101"/>
  <c r="AS84"/>
  <c r="AV84" s="1"/>
  <c r="AQ85"/>
  <c r="BE14"/>
  <c r="G55"/>
  <c r="H55" s="1"/>
  <c r="K55" s="1"/>
  <c r="G59"/>
  <c r="H59" s="1"/>
  <c r="K59" s="1"/>
  <c r="H15"/>
  <c r="K15" s="1"/>
  <c r="G37"/>
  <c r="H37" s="1"/>
  <c r="K37" s="1"/>
  <c r="G16"/>
  <c r="AY25"/>
  <c r="S113"/>
  <c r="V113" s="1"/>
  <c r="Y113" s="1"/>
  <c r="Y120" s="1"/>
  <c r="T114"/>
  <c r="AS27"/>
  <c r="AV27" s="1"/>
  <c r="AR28"/>
  <c r="AR35"/>
  <c r="AS34"/>
  <c r="AV34" s="1"/>
  <c r="BB34" s="1"/>
  <c r="BB112"/>
  <c r="AZ99"/>
  <c r="BB98"/>
  <c r="U17"/>
  <c r="U38"/>
  <c r="R16"/>
  <c r="T16" s="1"/>
  <c r="V16" s="1"/>
  <c r="Y16" s="1"/>
  <c r="AD125"/>
  <c r="AG125" s="1"/>
  <c r="AJ125" s="1"/>
  <c r="AY125" s="1"/>
  <c r="AE126"/>
  <c r="AY76"/>
  <c r="BB72"/>
  <c r="AJ14" i="18"/>
  <c r="AZ14" s="1"/>
  <c r="AY157"/>
  <c r="BC157" s="1"/>
  <c r="AE127"/>
  <c r="AD126"/>
  <c r="AG126" s="1"/>
  <c r="AJ126" s="1"/>
  <c r="AY126" s="1"/>
  <c r="AS46"/>
  <c r="AV46" s="1"/>
  <c r="BB46" s="1"/>
  <c r="AR47"/>
  <c r="AS47" s="1"/>
  <c r="AV47" s="1"/>
  <c r="BB47" s="1"/>
  <c r="AS74"/>
  <c r="AV74" s="1"/>
  <c r="AV76" s="1"/>
  <c r="AS113"/>
  <c r="AV113" s="1"/>
  <c r="AQ114"/>
  <c r="G17"/>
  <c r="G38"/>
  <c r="H16"/>
  <c r="K16" s="1"/>
  <c r="AZ99"/>
  <c r="BB98"/>
  <c r="AE159" s="1"/>
  <c r="AF159" s="1"/>
  <c r="BB72"/>
  <c r="AY54"/>
  <c r="AY120"/>
  <c r="BB110"/>
  <c r="AS34"/>
  <c r="AV34" s="1"/>
  <c r="BB34" s="1"/>
  <c r="AR35"/>
  <c r="AE114"/>
  <c r="AD113"/>
  <c r="AG113" s="1"/>
  <c r="AJ113" s="1"/>
  <c r="AF17"/>
  <c r="AF38"/>
  <c r="AC16"/>
  <c r="AE16" s="1"/>
  <c r="AG16" s="1"/>
  <c r="AJ16" s="1"/>
  <c r="AZ16" s="1"/>
  <c r="AY25"/>
  <c r="BA122"/>
  <c r="AS84"/>
  <c r="AV84" s="1"/>
  <c r="AQ85"/>
  <c r="U37"/>
  <c r="T37" s="1"/>
  <c r="V37" s="1"/>
  <c r="Y37" s="1"/>
  <c r="R15"/>
  <c r="T15" s="1"/>
  <c r="V15" s="1"/>
  <c r="Y15" s="1"/>
  <c r="U16"/>
  <c r="U59"/>
  <c r="V59" s="1"/>
  <c r="Y59" s="1"/>
  <c r="U55"/>
  <c r="T55" s="1"/>
  <c r="V55" s="1"/>
  <c r="Y55" s="1"/>
  <c r="AR29"/>
  <c r="AS28"/>
  <c r="AV28" s="1"/>
  <c r="BB28" s="1"/>
  <c r="T127"/>
  <c r="S126"/>
  <c r="V126" s="1"/>
  <c r="Y126" s="1"/>
  <c r="T75"/>
  <c r="S75" s="1"/>
  <c r="V75" s="1"/>
  <c r="Y75" s="1"/>
  <c r="S74"/>
  <c r="V74" s="1"/>
  <c r="Y74" s="1"/>
  <c r="BB101"/>
  <c r="AE160" s="1"/>
  <c r="AF160" s="1"/>
  <c r="AG160" s="1"/>
  <c r="AY155"/>
  <c r="BC155" s="1"/>
  <c r="AE75"/>
  <c r="AD75" s="1"/>
  <c r="AG75" s="1"/>
  <c r="AJ75" s="1"/>
  <c r="AY75" s="1"/>
  <c r="AD74"/>
  <c r="AG74" s="1"/>
  <c r="AJ74" s="1"/>
  <c r="T114"/>
  <c r="S113"/>
  <c r="V113" s="1"/>
  <c r="Y113" s="1"/>
  <c r="BA76"/>
  <c r="AZ78" s="1"/>
  <c r="E128" i="20" l="1"/>
  <c r="E125"/>
  <c r="E126"/>
  <c r="U38"/>
  <c r="U39" s="1"/>
  <c r="T39" s="1"/>
  <c r="V39" s="1"/>
  <c r="Y39" s="1"/>
  <c r="AQ126" i="18"/>
  <c r="AS126" s="1"/>
  <c r="AV126" s="1"/>
  <c r="AZ126" s="1"/>
  <c r="BA126" s="1"/>
  <c r="AJ120" i="20"/>
  <c r="R16"/>
  <c r="T16" s="1"/>
  <c r="V16" s="1"/>
  <c r="Y16" s="1"/>
  <c r="E136"/>
  <c r="E127"/>
  <c r="BE15" i="18"/>
  <c r="BB75" i="20"/>
  <c r="AZ88" i="18"/>
  <c r="AJ76" i="20"/>
  <c r="AY77" s="1"/>
  <c r="BC77" s="1"/>
  <c r="AY77" i="19"/>
  <c r="BA125" i="20"/>
  <c r="AS126"/>
  <c r="AV126" s="1"/>
  <c r="AZ126" s="1"/>
  <c r="AQ127"/>
  <c r="AE127"/>
  <c r="AD126"/>
  <c r="AG126" s="1"/>
  <c r="AJ126" s="1"/>
  <c r="AY126" s="1"/>
  <c r="T127"/>
  <c r="S126"/>
  <c r="V126" s="1"/>
  <c r="Y126" s="1"/>
  <c r="BB113"/>
  <c r="AY121"/>
  <c r="BB121" s="1"/>
  <c r="G17"/>
  <c r="G38"/>
  <c r="H16"/>
  <c r="K16" s="1"/>
  <c r="BE15"/>
  <c r="AY76"/>
  <c r="Y76"/>
  <c r="AR30"/>
  <c r="AS30" s="1"/>
  <c r="AV30" s="1"/>
  <c r="BB30" s="1"/>
  <c r="AS29"/>
  <c r="AV29" s="1"/>
  <c r="BB29" s="1"/>
  <c r="T38"/>
  <c r="V38" s="1"/>
  <c r="Y38" s="1"/>
  <c r="AZ120"/>
  <c r="BB120"/>
  <c r="AF38"/>
  <c r="AF17"/>
  <c r="AC16"/>
  <c r="AE16" s="1"/>
  <c r="AG16" s="1"/>
  <c r="AJ16" s="1"/>
  <c r="AZ16" s="1"/>
  <c r="BB28"/>
  <c r="U56"/>
  <c r="T56" s="1"/>
  <c r="V56" s="1"/>
  <c r="Y56" s="1"/>
  <c r="Y67" s="1"/>
  <c r="R17"/>
  <c r="T17" s="1"/>
  <c r="V17" s="1"/>
  <c r="Y17" s="1"/>
  <c r="U18"/>
  <c r="U60"/>
  <c r="V60" s="1"/>
  <c r="Y60" s="1"/>
  <c r="U40"/>
  <c r="T40" s="1"/>
  <c r="V40" s="1"/>
  <c r="Y40" s="1"/>
  <c r="AQ86" i="19"/>
  <c r="AS85"/>
  <c r="AV85" s="1"/>
  <c r="AY113"/>
  <c r="AJ120"/>
  <c r="BA113"/>
  <c r="BA121" s="1"/>
  <c r="AV120"/>
  <c r="AC16"/>
  <c r="AE16" s="1"/>
  <c r="AG16" s="1"/>
  <c r="AJ16" s="1"/>
  <c r="AF38"/>
  <c r="AF17"/>
  <c r="BB27"/>
  <c r="BA77"/>
  <c r="BC77"/>
  <c r="BE15"/>
  <c r="AE127"/>
  <c r="AD126"/>
  <c r="AG126" s="1"/>
  <c r="AJ126" s="1"/>
  <c r="AY126" s="1"/>
  <c r="U56"/>
  <c r="T56" s="1"/>
  <c r="V56" s="1"/>
  <c r="Y56" s="1"/>
  <c r="Y67" s="1"/>
  <c r="U60"/>
  <c r="V60" s="1"/>
  <c r="Y60" s="1"/>
  <c r="U40"/>
  <c r="T40" s="1"/>
  <c r="V40" s="1"/>
  <c r="Y40" s="1"/>
  <c r="U18"/>
  <c r="R17"/>
  <c r="T17" s="1"/>
  <c r="V17" s="1"/>
  <c r="Y17" s="1"/>
  <c r="AS28"/>
  <c r="AV28" s="1"/>
  <c r="BB28" s="1"/>
  <c r="AR29"/>
  <c r="H16"/>
  <c r="K16" s="1"/>
  <c r="G38"/>
  <c r="G17"/>
  <c r="AZ120"/>
  <c r="BB120"/>
  <c r="T127"/>
  <c r="S126"/>
  <c r="V126" s="1"/>
  <c r="Y126" s="1"/>
  <c r="U39"/>
  <c r="T39" s="1"/>
  <c r="V39" s="1"/>
  <c r="Y39" s="1"/>
  <c r="T38"/>
  <c r="V38" s="1"/>
  <c r="Y38" s="1"/>
  <c r="AR36"/>
  <c r="AS35"/>
  <c r="AV35" s="1"/>
  <c r="BB35" s="1"/>
  <c r="AS125"/>
  <c r="AV125" s="1"/>
  <c r="AZ125" s="1"/>
  <c r="BA125" s="1"/>
  <c r="AQ126"/>
  <c r="Y76" i="18"/>
  <c r="AY74"/>
  <c r="AJ76"/>
  <c r="R16"/>
  <c r="T16" s="1"/>
  <c r="V16" s="1"/>
  <c r="Y16" s="1"/>
  <c r="U38"/>
  <c r="U17"/>
  <c r="G60"/>
  <c r="H60" s="1"/>
  <c r="K60" s="1"/>
  <c r="G56"/>
  <c r="H56" s="1"/>
  <c r="K56" s="1"/>
  <c r="K67" s="1"/>
  <c r="G18"/>
  <c r="H17"/>
  <c r="K17" s="1"/>
  <c r="G40"/>
  <c r="H40" s="1"/>
  <c r="K40" s="1"/>
  <c r="AE128"/>
  <c r="AD127"/>
  <c r="AG127" s="1"/>
  <c r="AJ127" s="1"/>
  <c r="T128"/>
  <c r="S127"/>
  <c r="V127" s="1"/>
  <c r="Y127" s="1"/>
  <c r="AQ86"/>
  <c r="AS85"/>
  <c r="AV85" s="1"/>
  <c r="AF60"/>
  <c r="AG60" s="1"/>
  <c r="AJ60" s="1"/>
  <c r="AY60" s="1"/>
  <c r="AF56"/>
  <c r="AE56" s="1"/>
  <c r="AG56" s="1"/>
  <c r="AJ56" s="1"/>
  <c r="AF18"/>
  <c r="AC17"/>
  <c r="AE17" s="1"/>
  <c r="AG17" s="1"/>
  <c r="AJ17" s="1"/>
  <c r="AF40"/>
  <c r="AE40" s="1"/>
  <c r="AG40" s="1"/>
  <c r="AJ40" s="1"/>
  <c r="AY40" s="1"/>
  <c r="AS35"/>
  <c r="AV35" s="1"/>
  <c r="BB35" s="1"/>
  <c r="AR36"/>
  <c r="G39"/>
  <c r="H39" s="1"/>
  <c r="K39" s="1"/>
  <c r="H38"/>
  <c r="K38" s="1"/>
  <c r="AE38"/>
  <c r="AG38" s="1"/>
  <c r="AJ38" s="1"/>
  <c r="AF39"/>
  <c r="AE39" s="1"/>
  <c r="AG39" s="1"/>
  <c r="AJ39" s="1"/>
  <c r="AY39" s="1"/>
  <c r="AY113"/>
  <c r="BB120"/>
  <c r="AZ120"/>
  <c r="BA113"/>
  <c r="AR30"/>
  <c r="AS30" s="1"/>
  <c r="AV30" s="1"/>
  <c r="BB30" s="1"/>
  <c r="AS29"/>
  <c r="AV29" s="1"/>
  <c r="BB29" s="1"/>
  <c r="AZ125"/>
  <c r="BA125" s="1"/>
  <c r="E137" i="20" l="1"/>
  <c r="AQ127" i="18"/>
  <c r="AQ128" s="1"/>
  <c r="BA126" i="20"/>
  <c r="BA77"/>
  <c r="AE38"/>
  <c r="AG38" s="1"/>
  <c r="AJ38" s="1"/>
  <c r="AF39"/>
  <c r="AE39" s="1"/>
  <c r="AG39" s="1"/>
  <c r="AJ39" s="1"/>
  <c r="AY39" s="1"/>
  <c r="AE128"/>
  <c r="AD127"/>
  <c r="AG127" s="1"/>
  <c r="AJ127" s="1"/>
  <c r="AY127" s="1"/>
  <c r="AV51"/>
  <c r="AV68" s="1"/>
  <c r="AF60"/>
  <c r="AG60" s="1"/>
  <c r="AJ60" s="1"/>
  <c r="AY60" s="1"/>
  <c r="AF56"/>
  <c r="AE56" s="1"/>
  <c r="AG56" s="1"/>
  <c r="AJ56" s="1"/>
  <c r="AF40"/>
  <c r="AE40" s="1"/>
  <c r="AG40" s="1"/>
  <c r="AJ40" s="1"/>
  <c r="AY40" s="1"/>
  <c r="AC17"/>
  <c r="AE17" s="1"/>
  <c r="AG17" s="1"/>
  <c r="AJ17" s="1"/>
  <c r="AZ17" s="1"/>
  <c r="AF18"/>
  <c r="BD121"/>
  <c r="BD130"/>
  <c r="BE130" s="1"/>
  <c r="G60"/>
  <c r="H60" s="1"/>
  <c r="K60" s="1"/>
  <c r="G40"/>
  <c r="H40" s="1"/>
  <c r="K40" s="1"/>
  <c r="H17"/>
  <c r="K17" s="1"/>
  <c r="G56"/>
  <c r="H56" s="1"/>
  <c r="K56" s="1"/>
  <c r="K67" s="1"/>
  <c r="G18"/>
  <c r="T128"/>
  <c r="S127"/>
  <c r="V127" s="1"/>
  <c r="Y127" s="1"/>
  <c r="AS127"/>
  <c r="AV127" s="1"/>
  <c r="AZ127" s="1"/>
  <c r="AQ128"/>
  <c r="U41"/>
  <c r="U61"/>
  <c r="V61" s="1"/>
  <c r="Y61" s="1"/>
  <c r="R18"/>
  <c r="T18" s="1"/>
  <c r="V18" s="1"/>
  <c r="Y18" s="1"/>
  <c r="Y19" s="1"/>
  <c r="BD120"/>
  <c r="BE120" s="1"/>
  <c r="BD129"/>
  <c r="BE129" s="1"/>
  <c r="G39"/>
  <c r="H39" s="1"/>
  <c r="K39" s="1"/>
  <c r="H38"/>
  <c r="K38" s="1"/>
  <c r="BB51"/>
  <c r="AQ127" i="19"/>
  <c r="AS126"/>
  <c r="AV126" s="1"/>
  <c r="AZ126" s="1"/>
  <c r="S127"/>
  <c r="V127" s="1"/>
  <c r="Y127" s="1"/>
  <c r="T128"/>
  <c r="G56"/>
  <c r="H56" s="1"/>
  <c r="K56" s="1"/>
  <c r="K67" s="1"/>
  <c r="G60"/>
  <c r="H60" s="1"/>
  <c r="K60" s="1"/>
  <c r="G18"/>
  <c r="H17"/>
  <c r="K17" s="1"/>
  <c r="G40"/>
  <c r="H40" s="1"/>
  <c r="K40" s="1"/>
  <c r="AZ16"/>
  <c r="BB113"/>
  <c r="AY121"/>
  <c r="AR37"/>
  <c r="AS36"/>
  <c r="AV36" s="1"/>
  <c r="BB36" s="1"/>
  <c r="AS29"/>
  <c r="AV29" s="1"/>
  <c r="BB29" s="1"/>
  <c r="AR30"/>
  <c r="AS30" s="1"/>
  <c r="AV30" s="1"/>
  <c r="BB30" s="1"/>
  <c r="AD127"/>
  <c r="AG127" s="1"/>
  <c r="AJ127" s="1"/>
  <c r="AY127" s="1"/>
  <c r="AE128"/>
  <c r="AF39"/>
  <c r="AE39" s="1"/>
  <c r="AG39" s="1"/>
  <c r="AJ39" s="1"/>
  <c r="AY39" s="1"/>
  <c r="AE38"/>
  <c r="AG38" s="1"/>
  <c r="AJ38" s="1"/>
  <c r="U61"/>
  <c r="V61" s="1"/>
  <c r="Y61" s="1"/>
  <c r="R18"/>
  <c r="T18" s="1"/>
  <c r="V18" s="1"/>
  <c r="Y18" s="1"/>
  <c r="Y19" s="1"/>
  <c r="U41"/>
  <c r="AF56"/>
  <c r="AE56" s="1"/>
  <c r="AG56" s="1"/>
  <c r="AJ56" s="1"/>
  <c r="AF60"/>
  <c r="AG60" s="1"/>
  <c r="AJ60" s="1"/>
  <c r="AY60" s="1"/>
  <c r="AF40"/>
  <c r="AE40" s="1"/>
  <c r="AG40" s="1"/>
  <c r="AJ40" s="1"/>
  <c r="AY40" s="1"/>
  <c r="AF18"/>
  <c r="AC17"/>
  <c r="AE17" s="1"/>
  <c r="AG17" s="1"/>
  <c r="AJ17" s="1"/>
  <c r="AZ17" s="1"/>
  <c r="AS86"/>
  <c r="AV86" s="1"/>
  <c r="AV87" s="1"/>
  <c r="BA126"/>
  <c r="BD120"/>
  <c r="BE120" s="1"/>
  <c r="H38"/>
  <c r="K38" s="1"/>
  <c r="G39"/>
  <c r="H39" s="1"/>
  <c r="K39" s="1"/>
  <c r="AY38" i="18"/>
  <c r="AS36"/>
  <c r="AV36" s="1"/>
  <c r="AR37"/>
  <c r="T129"/>
  <c r="S128"/>
  <c r="V128" s="1"/>
  <c r="Y128" s="1"/>
  <c r="AS127"/>
  <c r="AV127" s="1"/>
  <c r="AY56"/>
  <c r="AJ67"/>
  <c r="T38"/>
  <c r="V38" s="1"/>
  <c r="Y38" s="1"/>
  <c r="U39"/>
  <c r="T39" s="1"/>
  <c r="V39" s="1"/>
  <c r="Y39" s="1"/>
  <c r="BD120"/>
  <c r="BE120" s="1"/>
  <c r="AE155"/>
  <c r="BB113"/>
  <c r="AF61"/>
  <c r="AG61" s="1"/>
  <c r="AJ61" s="1"/>
  <c r="AY61" s="1"/>
  <c r="AF41"/>
  <c r="AC18"/>
  <c r="AE18" s="1"/>
  <c r="AG18" s="1"/>
  <c r="AJ18" s="1"/>
  <c r="AZ18" s="1"/>
  <c r="T162"/>
  <c r="AS86"/>
  <c r="AV86" s="1"/>
  <c r="AV87" s="1"/>
  <c r="Y120"/>
  <c r="AE129"/>
  <c r="AD128"/>
  <c r="AG128" s="1"/>
  <c r="AJ128" s="1"/>
  <c r="AY128" s="1"/>
  <c r="U56"/>
  <c r="T56" s="1"/>
  <c r="V56" s="1"/>
  <c r="Y56" s="1"/>
  <c r="Y67" s="1"/>
  <c r="R17"/>
  <c r="T17" s="1"/>
  <c r="V17" s="1"/>
  <c r="Y17" s="1"/>
  <c r="U60"/>
  <c r="V60" s="1"/>
  <c r="Y60" s="1"/>
  <c r="U40"/>
  <c r="T40" s="1"/>
  <c r="V40" s="1"/>
  <c r="Y40" s="1"/>
  <c r="U18"/>
  <c r="BB75"/>
  <c r="AY76"/>
  <c r="AZ17"/>
  <c r="AY127"/>
  <c r="G61"/>
  <c r="H61" s="1"/>
  <c r="K61" s="1"/>
  <c r="H18"/>
  <c r="K18" s="1"/>
  <c r="K19" s="1"/>
  <c r="G41"/>
  <c r="AY77"/>
  <c r="E136" i="19" l="1"/>
  <c r="E138" i="20"/>
  <c r="E44" i="19"/>
  <c r="AY38" i="20"/>
  <c r="AS128"/>
  <c r="AV128" s="1"/>
  <c r="AZ128" s="1"/>
  <c r="AQ129"/>
  <c r="G41"/>
  <c r="G61"/>
  <c r="H61" s="1"/>
  <c r="K61" s="1"/>
  <c r="H18"/>
  <c r="K18" s="1"/>
  <c r="K19" s="1"/>
  <c r="AF41"/>
  <c r="AC18"/>
  <c r="AE18" s="1"/>
  <c r="AG18" s="1"/>
  <c r="AJ18" s="1"/>
  <c r="AF61"/>
  <c r="AG61" s="1"/>
  <c r="AJ61" s="1"/>
  <c r="AY61" s="1"/>
  <c r="U42"/>
  <c r="T41"/>
  <c r="V41" s="1"/>
  <c r="Y41" s="1"/>
  <c r="T129"/>
  <c r="S128"/>
  <c r="V128" s="1"/>
  <c r="Y128" s="1"/>
  <c r="AY56"/>
  <c r="AY67" s="1"/>
  <c r="AJ67"/>
  <c r="AE129"/>
  <c r="AD128"/>
  <c r="AG128" s="1"/>
  <c r="AJ128" s="1"/>
  <c r="AY128" s="1"/>
  <c r="BA127"/>
  <c r="BB121" i="19"/>
  <c r="AS127"/>
  <c r="AV127" s="1"/>
  <c r="AZ127" s="1"/>
  <c r="BA127" s="1"/>
  <c r="AQ128"/>
  <c r="AF61"/>
  <c r="AG61" s="1"/>
  <c r="AJ61" s="1"/>
  <c r="AY61" s="1"/>
  <c r="AF41"/>
  <c r="AC18"/>
  <c r="AE18" s="1"/>
  <c r="AG18" s="1"/>
  <c r="AJ18" s="1"/>
  <c r="AZ18" s="1"/>
  <c r="U42"/>
  <c r="T41"/>
  <c r="V41" s="1"/>
  <c r="Y41" s="1"/>
  <c r="AY38"/>
  <c r="AY56"/>
  <c r="AJ67"/>
  <c r="AR38"/>
  <c r="AS37"/>
  <c r="AV37" s="1"/>
  <c r="BB37" s="1"/>
  <c r="G61"/>
  <c r="H61" s="1"/>
  <c r="K61" s="1"/>
  <c r="H18"/>
  <c r="K18" s="1"/>
  <c r="K19" s="1"/>
  <c r="G41"/>
  <c r="AZ19"/>
  <c r="AE129"/>
  <c r="AD128"/>
  <c r="AG128" s="1"/>
  <c r="AJ128" s="1"/>
  <c r="AY128" s="1"/>
  <c r="T129"/>
  <c r="S128"/>
  <c r="V128" s="1"/>
  <c r="Y128" s="1"/>
  <c r="AZ19" i="18"/>
  <c r="U61"/>
  <c r="V61" s="1"/>
  <c r="Y61" s="1"/>
  <c r="R18"/>
  <c r="T18" s="1"/>
  <c r="V18" s="1"/>
  <c r="Y18" s="1"/>
  <c r="Y19" s="1"/>
  <c r="U41"/>
  <c r="AE41"/>
  <c r="AG41" s="1"/>
  <c r="AJ41" s="1"/>
  <c r="AF42"/>
  <c r="AF155"/>
  <c r="AE149"/>
  <c r="AJ120"/>
  <c r="AZ127"/>
  <c r="BA127" s="1"/>
  <c r="BB36"/>
  <c r="AY21"/>
  <c r="AY152"/>
  <c r="AE131"/>
  <c r="AE130"/>
  <c r="AD130" s="1"/>
  <c r="AG130" s="1"/>
  <c r="AJ130" s="1"/>
  <c r="AY130" s="1"/>
  <c r="AD129"/>
  <c r="AG129" s="1"/>
  <c r="AJ129" s="1"/>
  <c r="U162"/>
  <c r="T168"/>
  <c r="T170" s="1"/>
  <c r="AY154"/>
  <c r="BC154" s="1"/>
  <c r="AY67"/>
  <c r="AS128"/>
  <c r="AV128" s="1"/>
  <c r="AZ128" s="1"/>
  <c r="AQ129"/>
  <c r="AR38"/>
  <c r="AS37"/>
  <c r="AV37" s="1"/>
  <c r="BB37" s="1"/>
  <c r="AJ19"/>
  <c r="AY156"/>
  <c r="BC156" s="1"/>
  <c r="BA77"/>
  <c r="BC77"/>
  <c r="H41"/>
  <c r="K41" s="1"/>
  <c r="G42"/>
  <c r="AQ115"/>
  <c r="T131"/>
  <c r="T130"/>
  <c r="S130" s="1"/>
  <c r="V130" s="1"/>
  <c r="Y130" s="1"/>
  <c r="S129"/>
  <c r="V129" s="1"/>
  <c r="Y129" s="1"/>
  <c r="BA128"/>
  <c r="E137" i="19" l="1"/>
  <c r="E139" i="20"/>
  <c r="BA128"/>
  <c r="E105"/>
  <c r="U43"/>
  <c r="T42"/>
  <c r="V42" s="1"/>
  <c r="Y42" s="1"/>
  <c r="AF42"/>
  <c r="AE41"/>
  <c r="AG41" s="1"/>
  <c r="AJ41" s="1"/>
  <c r="AQ130"/>
  <c r="AS130" s="1"/>
  <c r="AV130" s="1"/>
  <c r="AZ130" s="1"/>
  <c r="AQ131"/>
  <c r="AS129"/>
  <c r="AV129" s="1"/>
  <c r="AZ129" s="1"/>
  <c r="AZ18"/>
  <c r="AZ19" s="1"/>
  <c r="AY21" s="1"/>
  <c r="AJ19"/>
  <c r="H41"/>
  <c r="K41" s="1"/>
  <c r="G42"/>
  <c r="AE130"/>
  <c r="AD130" s="1"/>
  <c r="AG130" s="1"/>
  <c r="AJ130" s="1"/>
  <c r="AY130" s="1"/>
  <c r="AD129"/>
  <c r="AG129" s="1"/>
  <c r="AJ129" s="1"/>
  <c r="AY129" s="1"/>
  <c r="AE131"/>
  <c r="S129"/>
  <c r="V129" s="1"/>
  <c r="Y129" s="1"/>
  <c r="T131"/>
  <c r="T130"/>
  <c r="S130" s="1"/>
  <c r="V130" s="1"/>
  <c r="Y130" s="1"/>
  <c r="AJ19" i="19"/>
  <c r="G42"/>
  <c r="H41"/>
  <c r="K41" s="1"/>
  <c r="AR39"/>
  <c r="AS39" s="1"/>
  <c r="AV39" s="1"/>
  <c r="AS38"/>
  <c r="AV38" s="1"/>
  <c r="BB38" s="1"/>
  <c r="AY67"/>
  <c r="AQ129"/>
  <c r="AS128"/>
  <c r="AV128" s="1"/>
  <c r="AZ128" s="1"/>
  <c r="BA128" s="1"/>
  <c r="S129"/>
  <c r="V129" s="1"/>
  <c r="Y129" s="1"/>
  <c r="T131"/>
  <c r="T130"/>
  <c r="S130" s="1"/>
  <c r="V130" s="1"/>
  <c r="Y130" s="1"/>
  <c r="T42"/>
  <c r="V42" s="1"/>
  <c r="Y42" s="1"/>
  <c r="U43"/>
  <c r="BD121"/>
  <c r="BD130"/>
  <c r="BE130" s="1"/>
  <c r="BD129"/>
  <c r="BE129" s="1"/>
  <c r="AD129"/>
  <c r="AG129" s="1"/>
  <c r="AJ129" s="1"/>
  <c r="AY129" s="1"/>
  <c r="AE131"/>
  <c r="AE130"/>
  <c r="AD130" s="1"/>
  <c r="AG130" s="1"/>
  <c r="AJ130" s="1"/>
  <c r="AY130" s="1"/>
  <c r="AY21"/>
  <c r="AF42"/>
  <c r="AE41"/>
  <c r="AG41" s="1"/>
  <c r="AJ41" s="1"/>
  <c r="AY129" i="18"/>
  <c r="AY41"/>
  <c r="T132"/>
  <c r="S131"/>
  <c r="V131" s="1"/>
  <c r="Y131" s="1"/>
  <c r="BC152"/>
  <c r="AY121"/>
  <c r="AE42"/>
  <c r="AG42" s="1"/>
  <c r="AJ42" s="1"/>
  <c r="AY42" s="1"/>
  <c r="AF43"/>
  <c r="AS129"/>
  <c r="AV129" s="1"/>
  <c r="AZ129" s="1"/>
  <c r="AQ130"/>
  <c r="AS130" s="1"/>
  <c r="AV130" s="1"/>
  <c r="AZ130" s="1"/>
  <c r="BA130" s="1"/>
  <c r="AQ131"/>
  <c r="AE132"/>
  <c r="AD131"/>
  <c r="AG131" s="1"/>
  <c r="AJ131" s="1"/>
  <c r="AY131" s="1"/>
  <c r="AS115"/>
  <c r="AV115" s="1"/>
  <c r="AQ117"/>
  <c r="AQ116"/>
  <c r="AS116" s="1"/>
  <c r="AV116" s="1"/>
  <c r="BA116" s="1"/>
  <c r="BB116" s="1"/>
  <c r="H42"/>
  <c r="K42" s="1"/>
  <c r="G43"/>
  <c r="AR39"/>
  <c r="AS39" s="1"/>
  <c r="AV39" s="1"/>
  <c r="BB39" s="1"/>
  <c r="AS38"/>
  <c r="AV38" s="1"/>
  <c r="BB38" s="1"/>
  <c r="T41"/>
  <c r="V41" s="1"/>
  <c r="Y41" s="1"/>
  <c r="U42"/>
  <c r="E138" i="19" l="1"/>
  <c r="E140" i="20"/>
  <c r="BA130"/>
  <c r="BA129"/>
  <c r="H42"/>
  <c r="K42" s="1"/>
  <c r="G43"/>
  <c r="AY41"/>
  <c r="AE132"/>
  <c r="AD131"/>
  <c r="AG131" s="1"/>
  <c r="AJ131" s="1"/>
  <c r="AY131" s="1"/>
  <c r="T43"/>
  <c r="V43" s="1"/>
  <c r="Y43" s="1"/>
  <c r="U44"/>
  <c r="T44" s="1"/>
  <c r="V44" s="1"/>
  <c r="Y44" s="1"/>
  <c r="AS131"/>
  <c r="AV131" s="1"/>
  <c r="AZ131" s="1"/>
  <c r="AQ132"/>
  <c r="T132"/>
  <c r="S131"/>
  <c r="V131" s="1"/>
  <c r="Y131" s="1"/>
  <c r="AF43"/>
  <c r="AE42"/>
  <c r="AG42" s="1"/>
  <c r="AJ42" s="1"/>
  <c r="AY42" s="1"/>
  <c r="AY41" i="19"/>
  <c r="G43"/>
  <c r="H42"/>
  <c r="K42" s="1"/>
  <c r="T43"/>
  <c r="V43" s="1"/>
  <c r="Y43" s="1"/>
  <c r="U44"/>
  <c r="T44" s="1"/>
  <c r="V44" s="1"/>
  <c r="Y44" s="1"/>
  <c r="S131"/>
  <c r="V131" s="1"/>
  <c r="Y131" s="1"/>
  <c r="T132"/>
  <c r="AQ131"/>
  <c r="AS129"/>
  <c r="AV129" s="1"/>
  <c r="AZ129" s="1"/>
  <c r="BA129" s="1"/>
  <c r="AQ130"/>
  <c r="AS130" s="1"/>
  <c r="AV130" s="1"/>
  <c r="AZ130" s="1"/>
  <c r="BA130" s="1"/>
  <c r="BB39"/>
  <c r="BB51" s="1"/>
  <c r="AV51"/>
  <c r="AV68" s="1"/>
  <c r="AF43"/>
  <c r="AE42"/>
  <c r="AG42" s="1"/>
  <c r="AJ42" s="1"/>
  <c r="AY42" s="1"/>
  <c r="AD131"/>
  <c r="AG131" s="1"/>
  <c r="AJ131" s="1"/>
  <c r="AY131" s="1"/>
  <c r="AE132"/>
  <c r="AE133" i="18"/>
  <c r="AD132"/>
  <c r="AG132" s="1"/>
  <c r="AJ132" s="1"/>
  <c r="AF44"/>
  <c r="AE44" s="1"/>
  <c r="AG44" s="1"/>
  <c r="AJ44" s="1"/>
  <c r="AY44" s="1"/>
  <c r="AE43"/>
  <c r="AG43" s="1"/>
  <c r="AJ43" s="1"/>
  <c r="AY43" s="1"/>
  <c r="T42"/>
  <c r="V42" s="1"/>
  <c r="Y42" s="1"/>
  <c r="U43"/>
  <c r="H43"/>
  <c r="K43" s="1"/>
  <c r="G44"/>
  <c r="H44" s="1"/>
  <c r="K44" s="1"/>
  <c r="BA115"/>
  <c r="BB115" s="1"/>
  <c r="AY159"/>
  <c r="BC159" s="1"/>
  <c r="T133"/>
  <c r="S132"/>
  <c r="V132" s="1"/>
  <c r="Y132" s="1"/>
  <c r="AV51"/>
  <c r="AV68" s="1"/>
  <c r="AQ118"/>
  <c r="AS118" s="1"/>
  <c r="AV118" s="1"/>
  <c r="BA118" s="1"/>
  <c r="BB118" s="1"/>
  <c r="AS117"/>
  <c r="AV117" s="1"/>
  <c r="BA117" s="1"/>
  <c r="BA129"/>
  <c r="BB51"/>
  <c r="AS131"/>
  <c r="AV131" s="1"/>
  <c r="AZ131" s="1"/>
  <c r="BA131" s="1"/>
  <c r="AE164" s="1"/>
  <c r="AF164" s="1"/>
  <c r="AQ132"/>
  <c r="E139" i="19" l="1"/>
  <c r="E141" i="20"/>
  <c r="AJ51" i="18"/>
  <c r="AJ68" s="1"/>
  <c r="Y51" i="20"/>
  <c r="Y68" s="1"/>
  <c r="AF44"/>
  <c r="AE44" s="1"/>
  <c r="AG44" s="1"/>
  <c r="AJ44" s="1"/>
  <c r="AY44" s="1"/>
  <c r="AE43"/>
  <c r="AG43" s="1"/>
  <c r="AJ43" s="1"/>
  <c r="AE133"/>
  <c r="AD132"/>
  <c r="AG132" s="1"/>
  <c r="AJ132" s="1"/>
  <c r="AY132" s="1"/>
  <c r="AS132"/>
  <c r="AV132" s="1"/>
  <c r="AZ132" s="1"/>
  <c r="AQ133"/>
  <c r="G44"/>
  <c r="H44" s="1"/>
  <c r="K44" s="1"/>
  <c r="K51" s="1"/>
  <c r="K68" s="1"/>
  <c r="H43"/>
  <c r="K43" s="1"/>
  <c r="BA131"/>
  <c r="T133"/>
  <c r="S132"/>
  <c r="V132" s="1"/>
  <c r="Y132" s="1"/>
  <c r="AE43" i="19"/>
  <c r="AG43" s="1"/>
  <c r="AJ43" s="1"/>
  <c r="AY43" s="1"/>
  <c r="AF44"/>
  <c r="AE44" s="1"/>
  <c r="AG44" s="1"/>
  <c r="AJ44" s="1"/>
  <c r="AY44" s="1"/>
  <c r="T133"/>
  <c r="S132"/>
  <c r="V132" s="1"/>
  <c r="Y132" s="1"/>
  <c r="G44"/>
  <c r="H44" s="1"/>
  <c r="K44" s="1"/>
  <c r="H43"/>
  <c r="K43" s="1"/>
  <c r="Y51"/>
  <c r="Y68" s="1"/>
  <c r="AE133"/>
  <c r="AD132"/>
  <c r="AG132" s="1"/>
  <c r="AJ132" s="1"/>
  <c r="AY132" s="1"/>
  <c r="AS131"/>
  <c r="AV131" s="1"/>
  <c r="AZ131" s="1"/>
  <c r="BA131" s="1"/>
  <c r="AQ132"/>
  <c r="AY51" i="18"/>
  <c r="AZ52" s="1"/>
  <c r="K51"/>
  <c r="K68" s="1"/>
  <c r="K146" s="1"/>
  <c r="AE134"/>
  <c r="AD133"/>
  <c r="AG133" s="1"/>
  <c r="AJ133" s="1"/>
  <c r="AY133" s="1"/>
  <c r="T134"/>
  <c r="S133"/>
  <c r="V133" s="1"/>
  <c r="Y133" s="1"/>
  <c r="AY132"/>
  <c r="AS132"/>
  <c r="AV132" s="1"/>
  <c r="AZ132" s="1"/>
  <c r="AQ133"/>
  <c r="BB117"/>
  <c r="BA121"/>
  <c r="U44"/>
  <c r="T44" s="1"/>
  <c r="V44" s="1"/>
  <c r="Y44" s="1"/>
  <c r="T43"/>
  <c r="V43" s="1"/>
  <c r="Y43" s="1"/>
  <c r="AV120"/>
  <c r="E82" i="19"/>
  <c r="E74"/>
  <c r="H74" s="1"/>
  <c r="K74" s="1"/>
  <c r="E140" l="1"/>
  <c r="E78" i="20"/>
  <c r="E80"/>
  <c r="E72"/>
  <c r="H72" s="1"/>
  <c r="K72" s="1"/>
  <c r="K76" s="1"/>
  <c r="E33" i="18"/>
  <c r="E29"/>
  <c r="E40"/>
  <c r="E38"/>
  <c r="E34"/>
  <c r="E30"/>
  <c r="E142" i="20"/>
  <c r="E78" i="19"/>
  <c r="E85"/>
  <c r="E81" i="20"/>
  <c r="E36" i="18"/>
  <c r="E79" i="19"/>
  <c r="E81"/>
  <c r="E83"/>
  <c r="E86"/>
  <c r="E80"/>
  <c r="E84"/>
  <c r="T134" i="20"/>
  <c r="S133"/>
  <c r="V133" s="1"/>
  <c r="Y133" s="1"/>
  <c r="AS133"/>
  <c r="AV133" s="1"/>
  <c r="AZ133" s="1"/>
  <c r="AQ134"/>
  <c r="AY43"/>
  <c r="AY51" s="1"/>
  <c r="AJ51"/>
  <c r="AJ68" s="1"/>
  <c r="AE134"/>
  <c r="AD133"/>
  <c r="AG133" s="1"/>
  <c r="AJ133" s="1"/>
  <c r="AY133" s="1"/>
  <c r="BA133" s="1"/>
  <c r="BA132"/>
  <c r="AY51" i="19"/>
  <c r="AY68" s="1"/>
  <c r="AZ69" s="1"/>
  <c r="K51"/>
  <c r="K68" s="1"/>
  <c r="AQ133"/>
  <c r="AS132"/>
  <c r="AV132" s="1"/>
  <c r="AZ132" s="1"/>
  <c r="BA132" s="1"/>
  <c r="S133"/>
  <c r="V133" s="1"/>
  <c r="Y133" s="1"/>
  <c r="T134"/>
  <c r="AD133"/>
  <c r="AG133" s="1"/>
  <c r="AJ133" s="1"/>
  <c r="AY133" s="1"/>
  <c r="AE134"/>
  <c r="AJ51"/>
  <c r="AJ68" s="1"/>
  <c r="AY160" i="18"/>
  <c r="BC160" s="1"/>
  <c r="AY68"/>
  <c r="AZ69" s="1"/>
  <c r="Y51"/>
  <c r="Y68" s="1"/>
  <c r="T135"/>
  <c r="S134"/>
  <c r="V134" s="1"/>
  <c r="Y134" s="1"/>
  <c r="AS133"/>
  <c r="AV133" s="1"/>
  <c r="AZ133" s="1"/>
  <c r="BA133" s="1"/>
  <c r="AQ134"/>
  <c r="AE135"/>
  <c r="AD134"/>
  <c r="AG134" s="1"/>
  <c r="AJ134" s="1"/>
  <c r="AY134" s="1"/>
  <c r="BA132"/>
  <c r="AE158" s="1"/>
  <c r="AF158" s="1"/>
  <c r="AG158" s="1"/>
  <c r="AY153"/>
  <c r="AY158"/>
  <c r="BC158" s="1"/>
  <c r="AE157"/>
  <c r="BB121"/>
  <c r="E141" i="19" l="1"/>
  <c r="E41" i="18"/>
  <c r="E37"/>
  <c r="E35"/>
  <c r="E32"/>
  <c r="E143" i="20"/>
  <c r="E44" i="18"/>
  <c r="E46"/>
  <c r="E45"/>
  <c r="E45" i="20"/>
  <c r="E45" i="19"/>
  <c r="E42" i="18"/>
  <c r="E31"/>
  <c r="E39"/>
  <c r="E43"/>
  <c r="AZ52" i="20"/>
  <c r="AY68"/>
  <c r="AZ69" s="1"/>
  <c r="T135"/>
  <c r="S134"/>
  <c r="V134" s="1"/>
  <c r="Y134" s="1"/>
  <c r="AE135"/>
  <c r="AD134"/>
  <c r="AG134" s="1"/>
  <c r="AJ134" s="1"/>
  <c r="AY134" s="1"/>
  <c r="AS134"/>
  <c r="AV134" s="1"/>
  <c r="AZ134" s="1"/>
  <c r="AQ135"/>
  <c r="AZ52" i="19"/>
  <c r="T135"/>
  <c r="S134"/>
  <c r="V134" s="1"/>
  <c r="Y134" s="1"/>
  <c r="AS133"/>
  <c r="AV133" s="1"/>
  <c r="AZ133" s="1"/>
  <c r="BA133" s="1"/>
  <c r="AQ134"/>
  <c r="AE135"/>
  <c r="AD134"/>
  <c r="AG134" s="1"/>
  <c r="AJ134" s="1"/>
  <c r="AY134" s="1"/>
  <c r="BD130" i="18"/>
  <c r="BE130" s="1"/>
  <c r="BD121"/>
  <c r="BD129"/>
  <c r="BE129" s="1"/>
  <c r="AE136"/>
  <c r="AD135"/>
  <c r="AG135" s="1"/>
  <c r="AJ135" s="1"/>
  <c r="AY135" s="1"/>
  <c r="T136"/>
  <c r="S135"/>
  <c r="V135" s="1"/>
  <c r="Y135" s="1"/>
  <c r="AF157"/>
  <c r="BC153"/>
  <c r="AY161"/>
  <c r="AS134"/>
  <c r="AV134" s="1"/>
  <c r="AZ134" s="1"/>
  <c r="BA134" s="1"/>
  <c r="AQ135"/>
  <c r="E13" i="19"/>
  <c r="S12" i="17"/>
  <c r="G12"/>
  <c r="E13" i="20"/>
  <c r="E142" i="19" l="1"/>
  <c r="E144" i="20"/>
  <c r="E14" i="18"/>
  <c r="E16"/>
  <c r="E17"/>
  <c r="J12" i="17"/>
  <c r="AE136" i="20"/>
  <c r="AD135"/>
  <c r="AG135" s="1"/>
  <c r="AJ135" s="1"/>
  <c r="AY135" s="1"/>
  <c r="BA134"/>
  <c r="T136"/>
  <c r="S135"/>
  <c r="V135" s="1"/>
  <c r="Y135" s="1"/>
  <c r="AS135"/>
  <c r="AV135" s="1"/>
  <c r="AZ135" s="1"/>
  <c r="AQ136"/>
  <c r="S135" i="19"/>
  <c r="V135" s="1"/>
  <c r="Y135" s="1"/>
  <c r="T136"/>
  <c r="AQ135"/>
  <c r="AS134"/>
  <c r="AV134" s="1"/>
  <c r="AZ134" s="1"/>
  <c r="BA134" s="1"/>
  <c r="AD135"/>
  <c r="AG135" s="1"/>
  <c r="AJ135" s="1"/>
  <c r="AY135" s="1"/>
  <c r="AE136"/>
  <c r="AE137" i="18"/>
  <c r="AD136"/>
  <c r="AG136" s="1"/>
  <c r="AJ136" s="1"/>
  <c r="AY136" s="1"/>
  <c r="AS135"/>
  <c r="AV135" s="1"/>
  <c r="AZ135" s="1"/>
  <c r="BA135" s="1"/>
  <c r="AQ136"/>
  <c r="T137"/>
  <c r="S136"/>
  <c r="V136" s="1"/>
  <c r="Y136" s="1"/>
  <c r="BC161"/>
  <c r="E143" i="19" l="1"/>
  <c r="E145" i="20"/>
  <c r="AE137"/>
  <c r="AD136"/>
  <c r="AG136" s="1"/>
  <c r="AJ136" s="1"/>
  <c r="AY136" s="1"/>
  <c r="BA135"/>
  <c r="AS136"/>
  <c r="AV136" s="1"/>
  <c r="AZ136" s="1"/>
  <c r="AQ137"/>
  <c r="T137"/>
  <c r="S136"/>
  <c r="V136" s="1"/>
  <c r="Y136" s="1"/>
  <c r="AS135" i="19"/>
  <c r="AV135" s="1"/>
  <c r="AZ135" s="1"/>
  <c r="BA135" s="1"/>
  <c r="AQ136"/>
  <c r="T137"/>
  <c r="S136"/>
  <c r="V136" s="1"/>
  <c r="Y136" s="1"/>
  <c r="AE137"/>
  <c r="AD136"/>
  <c r="AG136" s="1"/>
  <c r="AJ136" s="1"/>
  <c r="AY136" s="1"/>
  <c r="AS136" i="18"/>
  <c r="AV136" s="1"/>
  <c r="AZ136" s="1"/>
  <c r="BA136" s="1"/>
  <c r="AQ137"/>
  <c r="AE138"/>
  <c r="AD137"/>
  <c r="AG137" s="1"/>
  <c r="AJ137" s="1"/>
  <c r="AY137" s="1"/>
  <c r="T138"/>
  <c r="S137"/>
  <c r="V137" s="1"/>
  <c r="Y137" s="1"/>
  <c r="E144" i="19" l="1"/>
  <c r="BA136" i="20"/>
  <c r="T138"/>
  <c r="S137"/>
  <c r="V137" s="1"/>
  <c r="Y137" s="1"/>
  <c r="AQ138"/>
  <c r="AS137"/>
  <c r="AV137" s="1"/>
  <c r="AZ137" s="1"/>
  <c r="AE138"/>
  <c r="AD137"/>
  <c r="AG137" s="1"/>
  <c r="AJ137" s="1"/>
  <c r="AY137" s="1"/>
  <c r="AE138" i="19"/>
  <c r="AD137"/>
  <c r="AG137" s="1"/>
  <c r="AJ137" s="1"/>
  <c r="AY137" s="1"/>
  <c r="AQ137"/>
  <c r="AS136"/>
  <c r="AV136" s="1"/>
  <c r="AZ136" s="1"/>
  <c r="BA136" s="1"/>
  <c r="T138"/>
  <c r="S137"/>
  <c r="V137" s="1"/>
  <c r="Y137" s="1"/>
  <c r="T139" i="18"/>
  <c r="S138"/>
  <c r="V138" s="1"/>
  <c r="Y138" s="1"/>
  <c r="AS137"/>
  <c r="AV137" s="1"/>
  <c r="AZ137" s="1"/>
  <c r="BA137" s="1"/>
  <c r="BC137" s="1"/>
  <c r="AE163" s="1"/>
  <c r="AQ138"/>
  <c r="AE139"/>
  <c r="AD138"/>
  <c r="AG138" s="1"/>
  <c r="AJ138" s="1"/>
  <c r="AY138" s="1"/>
  <c r="E146" i="20" l="1"/>
  <c r="E145" i="19"/>
  <c r="BA137" i="20"/>
  <c r="BC137" s="1"/>
  <c r="AD138"/>
  <c r="AG138" s="1"/>
  <c r="AJ138" s="1"/>
  <c r="AY138" s="1"/>
  <c r="AE139"/>
  <c r="S138"/>
  <c r="V138" s="1"/>
  <c r="Y138" s="1"/>
  <c r="T139"/>
  <c r="AS138"/>
  <c r="AV138" s="1"/>
  <c r="AZ138" s="1"/>
  <c r="AQ139"/>
  <c r="T139" i="19"/>
  <c r="S138"/>
  <c r="V138" s="1"/>
  <c r="Y138" s="1"/>
  <c r="AE139"/>
  <c r="AD138"/>
  <c r="AG138" s="1"/>
  <c r="AJ138" s="1"/>
  <c r="AY138" s="1"/>
  <c r="AS137"/>
  <c r="AV137" s="1"/>
  <c r="AZ137" s="1"/>
  <c r="BA137" s="1"/>
  <c r="BC137" s="1"/>
  <c r="AQ138"/>
  <c r="AD139" i="18"/>
  <c r="AG139" s="1"/>
  <c r="AJ139" s="1"/>
  <c r="AY139" s="1"/>
  <c r="AE140"/>
  <c r="S139"/>
  <c r="V139" s="1"/>
  <c r="Y139" s="1"/>
  <c r="T140"/>
  <c r="AF163"/>
  <c r="AG163" s="1"/>
  <c r="AQ139"/>
  <c r="AS138"/>
  <c r="AV138" s="1"/>
  <c r="AZ138" s="1"/>
  <c r="BA138" s="1"/>
  <c r="AE167" s="1"/>
  <c r="AF167" s="1"/>
  <c r="E113" i="19"/>
  <c r="E31" l="1"/>
  <c r="E27"/>
  <c r="E106"/>
  <c r="E125"/>
  <c r="E131"/>
  <c r="E72"/>
  <c r="H72" s="1"/>
  <c r="K72" s="1"/>
  <c r="K76" s="1"/>
  <c r="E132"/>
  <c r="E112"/>
  <c r="E134"/>
  <c r="E25"/>
  <c r="E109"/>
  <c r="E127"/>
  <c r="E133"/>
  <c r="E104"/>
  <c r="E135" i="20"/>
  <c r="E43" i="19"/>
  <c r="E111"/>
  <c r="E73"/>
  <c r="H73" s="1"/>
  <c r="K73" s="1"/>
  <c r="E135"/>
  <c r="E28"/>
  <c r="E107"/>
  <c r="E126"/>
  <c r="E75"/>
  <c r="H75" s="1"/>
  <c r="K75" s="1"/>
  <c r="E103"/>
  <c r="E124"/>
  <c r="E26"/>
  <c r="E39"/>
  <c r="E105"/>
  <c r="E110"/>
  <c r="E122"/>
  <c r="E128"/>
  <c r="E146"/>
  <c r="E108"/>
  <c r="BA138" i="20"/>
  <c r="AQ140"/>
  <c r="AS139"/>
  <c r="AV139" s="1"/>
  <c r="AZ139" s="1"/>
  <c r="AE140"/>
  <c r="AD139"/>
  <c r="AG139" s="1"/>
  <c r="AJ139" s="1"/>
  <c r="AY139" s="1"/>
  <c r="T140"/>
  <c r="S139"/>
  <c r="V139" s="1"/>
  <c r="Y139" s="1"/>
  <c r="T140" i="19"/>
  <c r="S139"/>
  <c r="V139" s="1"/>
  <c r="Y139" s="1"/>
  <c r="AS138"/>
  <c r="AV138" s="1"/>
  <c r="AZ138" s="1"/>
  <c r="BA138" s="1"/>
  <c r="AQ139"/>
  <c r="AE140"/>
  <c r="AD139"/>
  <c r="AG139" s="1"/>
  <c r="AJ139" s="1"/>
  <c r="AY139" s="1"/>
  <c r="AE141" i="18"/>
  <c r="AD141" s="1"/>
  <c r="AG141" s="1"/>
  <c r="AJ141" s="1"/>
  <c r="AD140"/>
  <c r="AG140" s="1"/>
  <c r="AJ140" s="1"/>
  <c r="AY140" s="1"/>
  <c r="AS139"/>
  <c r="AV139" s="1"/>
  <c r="AZ139" s="1"/>
  <c r="BA139" s="1"/>
  <c r="AQ140"/>
  <c r="T141"/>
  <c r="S141" s="1"/>
  <c r="V141" s="1"/>
  <c r="Y141" s="1"/>
  <c r="Y146" s="1"/>
  <c r="Y148" s="1"/>
  <c r="S140"/>
  <c r="V140" s="1"/>
  <c r="Y140" s="1"/>
  <c r="E34" i="19" l="1"/>
  <c r="E41"/>
  <c r="E37"/>
  <c r="E123"/>
  <c r="E42"/>
  <c r="E40"/>
  <c r="E36"/>
  <c r="E32"/>
  <c r="E38"/>
  <c r="E29"/>
  <c r="E33"/>
  <c r="E35"/>
  <c r="E30"/>
  <c r="E54"/>
  <c r="BA139" i="20"/>
  <c r="S140"/>
  <c r="V140" s="1"/>
  <c r="Y140" s="1"/>
  <c r="T141"/>
  <c r="S141" s="1"/>
  <c r="V141" s="1"/>
  <c r="Y141" s="1"/>
  <c r="AS140"/>
  <c r="AV140" s="1"/>
  <c r="AZ140" s="1"/>
  <c r="AQ141"/>
  <c r="AD140"/>
  <c r="AG140" s="1"/>
  <c r="AJ140" s="1"/>
  <c r="AY140" s="1"/>
  <c r="AE141"/>
  <c r="AD141" s="1"/>
  <c r="AG141" s="1"/>
  <c r="AJ141" s="1"/>
  <c r="AY141" s="1"/>
  <c r="AE141" i="19"/>
  <c r="AD141" s="1"/>
  <c r="AG141" s="1"/>
  <c r="AJ141" s="1"/>
  <c r="AY141" s="1"/>
  <c r="AD140"/>
  <c r="AG140" s="1"/>
  <c r="AJ140" s="1"/>
  <c r="AY140" s="1"/>
  <c r="T141"/>
  <c r="S141" s="1"/>
  <c r="V141" s="1"/>
  <c r="Y141" s="1"/>
  <c r="S140"/>
  <c r="V140" s="1"/>
  <c r="Y140" s="1"/>
  <c r="AS139"/>
  <c r="AV139" s="1"/>
  <c r="AZ139" s="1"/>
  <c r="BA139" s="1"/>
  <c r="AQ140"/>
  <c r="AQ141" i="18"/>
  <c r="AS140"/>
  <c r="AV140" s="1"/>
  <c r="AZ140" s="1"/>
  <c r="BA140" s="1"/>
  <c r="AY141"/>
  <c r="AJ146"/>
  <c r="AQ144" i="20" l="1"/>
  <c r="AS141"/>
  <c r="AV141" s="1"/>
  <c r="AZ141" s="1"/>
  <c r="BA141" s="1"/>
  <c r="BA140"/>
  <c r="AS140" i="19"/>
  <c r="AV140" s="1"/>
  <c r="AZ140" s="1"/>
  <c r="BA140" s="1"/>
  <c r="AQ141"/>
  <c r="K148" i="18"/>
  <c r="AY162"/>
  <c r="AQ144"/>
  <c r="AS141"/>
  <c r="AV141" s="1"/>
  <c r="AZ141" s="1"/>
  <c r="BA141" s="1"/>
  <c r="AQ145" i="20" l="1"/>
  <c r="AS145" s="1"/>
  <c r="AV145" s="1"/>
  <c r="AZ145" s="1"/>
  <c r="BA145" s="1"/>
  <c r="AS144"/>
  <c r="AV144" s="1"/>
  <c r="AZ144" s="1"/>
  <c r="BA144" s="1"/>
  <c r="AQ144" i="19"/>
  <c r="AS141"/>
  <c r="AV141" s="1"/>
  <c r="AZ141" s="1"/>
  <c r="BA141" s="1"/>
  <c r="AS144" i="18"/>
  <c r="AV144" s="1"/>
  <c r="AZ144" s="1"/>
  <c r="BA144" s="1"/>
  <c r="AQ145"/>
  <c r="AS144" i="19" l="1"/>
  <c r="AV144" s="1"/>
  <c r="AZ144" s="1"/>
  <c r="BA144" s="1"/>
  <c r="AQ145"/>
  <c r="AS145" s="1"/>
  <c r="AV145" s="1"/>
  <c r="AZ145" s="1"/>
  <c r="BA145" s="1"/>
  <c r="AS145" i="18"/>
  <c r="AV145" s="1"/>
  <c r="AZ145" s="1"/>
  <c r="BA145" s="1"/>
  <c r="E112" l="1"/>
  <c r="E108" l="1"/>
  <c r="E113"/>
  <c r="E104"/>
  <c r="E109"/>
  <c r="E105"/>
  <c r="E106"/>
  <c r="E110"/>
  <c r="E103"/>
  <c r="E107"/>
  <c r="E111"/>
  <c r="AV146"/>
  <c r="AV148" s="1"/>
  <c r="AV150" s="1"/>
  <c r="AV151" s="1"/>
  <c r="E55" l="1"/>
  <c r="E94"/>
  <c r="E100"/>
  <c r="E25"/>
  <c r="E15"/>
  <c r="E122"/>
  <c r="E18"/>
  <c r="AE166"/>
  <c r="E27" l="1"/>
  <c r="E28"/>
  <c r="E54"/>
  <c r="E26"/>
  <c r="E97"/>
  <c r="E123"/>
  <c r="AF166"/>
  <c r="AE168"/>
  <c r="AE170" s="1"/>
  <c r="E124" l="1"/>
  <c r="E72"/>
  <c r="H72" s="1"/>
  <c r="K72" s="1"/>
  <c r="K76" s="1"/>
  <c r="Q105" i="17"/>
  <c r="P105" s="1"/>
  <c r="Q86"/>
  <c r="P86" s="1"/>
  <c r="Q81"/>
  <c r="V12"/>
  <c r="E105"/>
  <c r="D105" s="1"/>
  <c r="E86"/>
  <c r="D86" s="1"/>
  <c r="E81"/>
  <c r="G55"/>
  <c r="G54"/>
  <c r="J54" s="1"/>
  <c r="G44"/>
  <c r="J44" s="1"/>
  <c r="G43"/>
  <c r="J43" s="1"/>
  <c r="G42"/>
  <c r="J42" s="1"/>
  <c r="G41"/>
  <c r="J41" s="1"/>
  <c r="G40"/>
  <c r="J40" s="1"/>
  <c r="G39"/>
  <c r="J39" s="1"/>
  <c r="G38"/>
  <c r="J38" s="1"/>
  <c r="AI86" l="1"/>
  <c r="AJ12"/>
  <c r="AO12" s="1"/>
  <c r="AK12"/>
  <c r="E106"/>
  <c r="D106" s="1"/>
  <c r="AI105"/>
  <c r="Q106"/>
  <c r="P106" s="1"/>
  <c r="E125" i="18"/>
  <c r="G81" i="17"/>
  <c r="J81" s="1"/>
  <c r="E82"/>
  <c r="E83" s="1"/>
  <c r="G83" s="1"/>
  <c r="J83" s="1"/>
  <c r="S81"/>
  <c r="V81" s="1"/>
  <c r="Q82"/>
  <c r="Q83" s="1"/>
  <c r="E75" i="20"/>
  <c r="H75" s="1"/>
  <c r="K75" s="1"/>
  <c r="E74"/>
  <c r="H74" s="1"/>
  <c r="K74" s="1"/>
  <c r="G86" i="17"/>
  <c r="J86" s="1"/>
  <c r="G56"/>
  <c r="J56" s="1"/>
  <c r="E62"/>
  <c r="D62" s="1"/>
  <c r="Q91"/>
  <c r="P91" s="1"/>
  <c r="E73" i="18"/>
  <c r="H73" s="1"/>
  <c r="K73" s="1"/>
  <c r="E82" i="20"/>
  <c r="G37" i="17"/>
  <c r="J37" s="1"/>
  <c r="E133" i="20"/>
  <c r="E84"/>
  <c r="E73"/>
  <c r="H73" s="1"/>
  <c r="K73" s="1"/>
  <c r="E86"/>
  <c r="E83"/>
  <c r="E79"/>
  <c r="E85"/>
  <c r="S86" i="17"/>
  <c r="V86" s="1"/>
  <c r="S22"/>
  <c r="V22" s="1"/>
  <c r="E88"/>
  <c r="D88" s="1"/>
  <c r="J55"/>
  <c r="Q88"/>
  <c r="G24"/>
  <c r="J24" s="1"/>
  <c r="G21"/>
  <c r="J21" s="1"/>
  <c r="G36"/>
  <c r="J36" s="1"/>
  <c r="G20"/>
  <c r="J20" s="1"/>
  <c r="G31"/>
  <c r="J31" s="1"/>
  <c r="G35"/>
  <c r="J35" s="1"/>
  <c r="G51"/>
  <c r="J51" s="1"/>
  <c r="G25"/>
  <c r="J25" s="1"/>
  <c r="G29"/>
  <c r="J29" s="1"/>
  <c r="G33"/>
  <c r="J33" s="1"/>
  <c r="G27"/>
  <c r="J27" s="1"/>
  <c r="G19"/>
  <c r="J19" s="1"/>
  <c r="G23"/>
  <c r="J23" s="1"/>
  <c r="G26"/>
  <c r="J26" s="1"/>
  <c r="G30"/>
  <c r="J30" s="1"/>
  <c r="G34"/>
  <c r="J34" s="1"/>
  <c r="G50"/>
  <c r="J50" s="1"/>
  <c r="G53"/>
  <c r="J53" s="1"/>
  <c r="G22"/>
  <c r="J22" s="1"/>
  <c r="G28"/>
  <c r="J28" s="1"/>
  <c r="G32"/>
  <c r="J32" s="1"/>
  <c r="S25"/>
  <c r="V25" s="1"/>
  <c r="S40"/>
  <c r="V40" s="1"/>
  <c r="S44"/>
  <c r="V44" s="1"/>
  <c r="S82"/>
  <c r="V82" s="1"/>
  <c r="S36"/>
  <c r="V36" s="1"/>
  <c r="S41"/>
  <c r="V41" s="1"/>
  <c r="S83"/>
  <c r="V83" s="1"/>
  <c r="S38"/>
  <c r="V38" s="1"/>
  <c r="S42"/>
  <c r="V42" s="1"/>
  <c r="S54"/>
  <c r="V54" s="1"/>
  <c r="AJ54" s="1"/>
  <c r="S39"/>
  <c r="V39" s="1"/>
  <c r="S43"/>
  <c r="V43" s="1"/>
  <c r="S55"/>
  <c r="V55" s="1"/>
  <c r="G105"/>
  <c r="J105" s="1"/>
  <c r="P88" l="1"/>
  <c r="AI88" s="1"/>
  <c r="AJ86"/>
  <c r="AJ39"/>
  <c r="AK39"/>
  <c r="AJ44"/>
  <c r="AK44"/>
  <c r="G82"/>
  <c r="J82" s="1"/>
  <c r="J84" s="1"/>
  <c r="G5" i="9" s="1"/>
  <c r="T5" s="1"/>
  <c r="T8" s="1"/>
  <c r="S105" i="17"/>
  <c r="V105" s="1"/>
  <c r="AJ105" s="1"/>
  <c r="AM105" s="1"/>
  <c r="AK38"/>
  <c r="AJ38"/>
  <c r="AK42"/>
  <c r="AJ42"/>
  <c r="AJ36"/>
  <c r="AK36"/>
  <c r="AK25"/>
  <c r="AJ25"/>
  <c r="AK22"/>
  <c r="AJ22"/>
  <c r="AJ55"/>
  <c r="AL55" s="1"/>
  <c r="AJ43"/>
  <c r="AK43"/>
  <c r="AK41"/>
  <c r="AJ41"/>
  <c r="AK40"/>
  <c r="AJ40"/>
  <c r="Q107"/>
  <c r="P107" s="1"/>
  <c r="E126" i="18"/>
  <c r="AL87" i="17"/>
  <c r="E107"/>
  <c r="D107" s="1"/>
  <c r="S53"/>
  <c r="V53" s="1"/>
  <c r="AJ53" s="1"/>
  <c r="AG13"/>
  <c r="G88"/>
  <c r="J88" s="1"/>
  <c r="J89" s="1"/>
  <c r="H5" i="9" s="1"/>
  <c r="U5" s="1"/>
  <c r="J45" i="17"/>
  <c r="S91"/>
  <c r="V91" s="1"/>
  <c r="Q92"/>
  <c r="P92" s="1"/>
  <c r="S56"/>
  <c r="V56" s="1"/>
  <c r="AJ56" s="1"/>
  <c r="Q62"/>
  <c r="E91"/>
  <c r="G52"/>
  <c r="J52" s="1"/>
  <c r="J57" s="1"/>
  <c r="D5" i="9" s="1"/>
  <c r="Q5" s="1"/>
  <c r="G62" i="17"/>
  <c r="J62" s="1"/>
  <c r="E63"/>
  <c r="D63" s="1"/>
  <c r="E74" i="18"/>
  <c r="H74" s="1"/>
  <c r="K74" s="1"/>
  <c r="E131" i="20"/>
  <c r="S21" i="17"/>
  <c r="V21" s="1"/>
  <c r="E104" i="20"/>
  <c r="S34" i="17"/>
  <c r="V34" s="1"/>
  <c r="E122" i="20"/>
  <c r="S35" i="17"/>
  <c r="V35" s="1"/>
  <c r="E132" i="20"/>
  <c r="G106" i="17"/>
  <c r="J106" s="1"/>
  <c r="S33"/>
  <c r="V33" s="1"/>
  <c r="S19"/>
  <c r="V19" s="1"/>
  <c r="S23"/>
  <c r="V23" s="1"/>
  <c r="S24"/>
  <c r="V24" s="1"/>
  <c r="V52"/>
  <c r="S31"/>
  <c r="V31" s="1"/>
  <c r="S28"/>
  <c r="V28" s="1"/>
  <c r="S26"/>
  <c r="V26" s="1"/>
  <c r="S27"/>
  <c r="V27" s="1"/>
  <c r="S37"/>
  <c r="V37" s="1"/>
  <c r="S29"/>
  <c r="V29" s="1"/>
  <c r="S50"/>
  <c r="V50" s="1"/>
  <c r="AJ50" s="1"/>
  <c r="S30"/>
  <c r="V30" s="1"/>
  <c r="S20"/>
  <c r="V20" s="1"/>
  <c r="S32"/>
  <c r="V32" s="1"/>
  <c r="S51"/>
  <c r="V51" s="1"/>
  <c r="AJ51" s="1"/>
  <c r="S106"/>
  <c r="V106" s="1"/>
  <c r="V84"/>
  <c r="G6" i="9" s="1"/>
  <c r="T6" s="1"/>
  <c r="AL54" i="17"/>
  <c r="P62" l="1"/>
  <c r="AK62" s="1"/>
  <c r="D91"/>
  <c r="AI91" s="1"/>
  <c r="S88"/>
  <c r="AJ19"/>
  <c r="V45"/>
  <c r="AI45" s="1"/>
  <c r="AK24"/>
  <c r="AJ24"/>
  <c r="AJ32"/>
  <c r="AK32"/>
  <c r="AJ29"/>
  <c r="AK29"/>
  <c r="AJ28"/>
  <c r="AK28"/>
  <c r="AJ23"/>
  <c r="AK23"/>
  <c r="AI106"/>
  <c r="AK26"/>
  <c r="AJ26"/>
  <c r="AK21"/>
  <c r="AJ21"/>
  <c r="AJ30"/>
  <c r="AK30"/>
  <c r="AK27"/>
  <c r="AJ27"/>
  <c r="AJ33"/>
  <c r="AK33"/>
  <c r="AJ35"/>
  <c r="AK35"/>
  <c r="AI107"/>
  <c r="AJ106"/>
  <c r="AK20"/>
  <c r="AJ20"/>
  <c r="AJ37"/>
  <c r="AK37"/>
  <c r="AJ31"/>
  <c r="AK31"/>
  <c r="AK19"/>
  <c r="AJ34"/>
  <c r="AK34"/>
  <c r="AJ52"/>
  <c r="E108"/>
  <c r="D108" s="1"/>
  <c r="G107"/>
  <c r="J107" s="1"/>
  <c r="Q108"/>
  <c r="P108" s="1"/>
  <c r="S107"/>
  <c r="V107" s="1"/>
  <c r="E127" i="18"/>
  <c r="AL86" i="17"/>
  <c r="AL53"/>
  <c r="Q93"/>
  <c r="V88"/>
  <c r="AL56"/>
  <c r="Q96"/>
  <c r="P96" s="1"/>
  <c r="S92"/>
  <c r="V92" s="1"/>
  <c r="G91"/>
  <c r="J91" s="1"/>
  <c r="AJ91" s="1"/>
  <c r="E92"/>
  <c r="G63"/>
  <c r="J63" s="1"/>
  <c r="E64"/>
  <c r="D64" s="1"/>
  <c r="Q63"/>
  <c r="E75" i="18"/>
  <c r="H75" s="1"/>
  <c r="K75" s="1"/>
  <c r="E106" i="20"/>
  <c r="E124"/>
  <c r="E34"/>
  <c r="E38"/>
  <c r="E27"/>
  <c r="E31"/>
  <c r="E42"/>
  <c r="E43"/>
  <c r="E134"/>
  <c r="E32"/>
  <c r="E36"/>
  <c r="E41"/>
  <c r="E25"/>
  <c r="E29"/>
  <c r="E109"/>
  <c r="E35"/>
  <c r="E40"/>
  <c r="E28"/>
  <c r="E33"/>
  <c r="E37"/>
  <c r="E26"/>
  <c r="E30"/>
  <c r="V57" i="17"/>
  <c r="C5" i="9"/>
  <c r="P5" s="1"/>
  <c r="P8" l="1"/>
  <c r="S62" i="17"/>
  <c r="V62" s="1"/>
  <c r="AJ62" s="1"/>
  <c r="AM62" s="1"/>
  <c r="P93"/>
  <c r="S93" s="1"/>
  <c r="V93" s="1"/>
  <c r="V94" s="1"/>
  <c r="P63"/>
  <c r="AK63" s="1"/>
  <c r="D92"/>
  <c r="AI92" s="1"/>
  <c r="AJ107"/>
  <c r="AM107" s="1"/>
  <c r="V89"/>
  <c r="AJ88"/>
  <c r="AJ89" s="1"/>
  <c r="D6" i="9"/>
  <c r="Q6" s="1"/>
  <c r="Q8" s="1"/>
  <c r="AI57" i="17"/>
  <c r="Q109"/>
  <c r="P109" s="1"/>
  <c r="E109"/>
  <c r="D109" s="1"/>
  <c r="G108"/>
  <c r="J108" s="1"/>
  <c r="AG14"/>
  <c r="S96"/>
  <c r="V96" s="1"/>
  <c r="AM106"/>
  <c r="Q97"/>
  <c r="P97" s="1"/>
  <c r="AL91"/>
  <c r="E93"/>
  <c r="E65"/>
  <c r="D65" s="1"/>
  <c r="G64"/>
  <c r="J64" s="1"/>
  <c r="E66"/>
  <c r="D66" s="1"/>
  <c r="E96"/>
  <c r="G92"/>
  <c r="J92" s="1"/>
  <c r="AJ92" s="1"/>
  <c r="Q64"/>
  <c r="E78" i="18"/>
  <c r="E110" i="20"/>
  <c r="E103"/>
  <c r="E39"/>
  <c r="E54"/>
  <c r="E108"/>
  <c r="E111"/>
  <c r="E113"/>
  <c r="C6" i="9"/>
  <c r="P6" s="1"/>
  <c r="AL52" i="17"/>
  <c r="AL51"/>
  <c r="G16" i="9"/>
  <c r="S63" i="17" l="1"/>
  <c r="V63" s="1"/>
  <c r="AJ63" s="1"/>
  <c r="P64"/>
  <c r="AK64" s="1"/>
  <c r="D96"/>
  <c r="AI96" s="1"/>
  <c r="D93"/>
  <c r="AI93" s="1"/>
  <c r="I6" i="9"/>
  <c r="V6" s="1"/>
  <c r="S108" i="17"/>
  <c r="V108" s="1"/>
  <c r="AJ108" s="1"/>
  <c r="AM108" s="1"/>
  <c r="AI108"/>
  <c r="H6" i="9"/>
  <c r="AI89" i="17"/>
  <c r="E110"/>
  <c r="D110" s="1"/>
  <c r="G109"/>
  <c r="J109" s="1"/>
  <c r="Q110"/>
  <c r="P110" s="1"/>
  <c r="E128" i="18"/>
  <c r="AG58" i="17"/>
  <c r="AG134" s="1"/>
  <c r="AJ45"/>
  <c r="AI46" s="1"/>
  <c r="B7" i="9"/>
  <c r="AK90" i="17"/>
  <c r="AL88"/>
  <c r="AL50"/>
  <c r="AJ57"/>
  <c r="S97"/>
  <c r="V97" s="1"/>
  <c r="AK45"/>
  <c r="AK47" s="1"/>
  <c r="G65"/>
  <c r="J65" s="1"/>
  <c r="Q65"/>
  <c r="AL92"/>
  <c r="G96"/>
  <c r="J96" s="1"/>
  <c r="AJ96" s="1"/>
  <c r="E97"/>
  <c r="D97" s="1"/>
  <c r="G66"/>
  <c r="J66" s="1"/>
  <c r="E69"/>
  <c r="D69" s="1"/>
  <c r="Q66"/>
  <c r="E79" i="18"/>
  <c r="E107" i="20"/>
  <c r="C16" i="9"/>
  <c r="L7" l="1"/>
  <c r="N7" s="1"/>
  <c r="O7"/>
  <c r="H16"/>
  <c r="U6"/>
  <c r="S64" i="17"/>
  <c r="V64" s="1"/>
  <c r="AJ64" s="1"/>
  <c r="AI97"/>
  <c r="P65"/>
  <c r="AK65" s="1"/>
  <c r="P66"/>
  <c r="AK66" s="1"/>
  <c r="G93"/>
  <c r="J93" s="1"/>
  <c r="S109"/>
  <c r="V109" s="1"/>
  <c r="AJ109" s="1"/>
  <c r="AM109" s="1"/>
  <c r="AI109"/>
  <c r="E129" i="18"/>
  <c r="E111" i="17"/>
  <c r="D111" s="1"/>
  <c r="G110"/>
  <c r="J110" s="1"/>
  <c r="Q111"/>
  <c r="P111" s="1"/>
  <c r="AG135"/>
  <c r="AM63"/>
  <c r="AI58"/>
  <c r="AK58"/>
  <c r="J67"/>
  <c r="E5" i="9" s="1"/>
  <c r="R5" s="1"/>
  <c r="AM64" i="17"/>
  <c r="D16" i="9"/>
  <c r="Q69" i="17"/>
  <c r="G69"/>
  <c r="J69" s="1"/>
  <c r="E70"/>
  <c r="D70" s="1"/>
  <c r="E80" i="18"/>
  <c r="S66" i="17" l="1"/>
  <c r="V66" s="1"/>
  <c r="AJ66" s="1"/>
  <c r="AM66" s="1"/>
  <c r="G97"/>
  <c r="J97" s="1"/>
  <c r="AJ97" s="1"/>
  <c r="AK97" s="1"/>
  <c r="AK98" s="1"/>
  <c r="P69"/>
  <c r="AI69" s="1"/>
  <c r="AJ93"/>
  <c r="J94"/>
  <c r="S110"/>
  <c r="V110" s="1"/>
  <c r="AJ110" s="1"/>
  <c r="AM110" s="1"/>
  <c r="AI110"/>
  <c r="Q112"/>
  <c r="P112" s="1"/>
  <c r="E112"/>
  <c r="D112" s="1"/>
  <c r="G111"/>
  <c r="J111" s="1"/>
  <c r="E130" i="18"/>
  <c r="I13" i="17"/>
  <c r="V13"/>
  <c r="S65"/>
  <c r="V65" s="1"/>
  <c r="AJ65" s="1"/>
  <c r="AJ67" s="1"/>
  <c r="AK68" s="1"/>
  <c r="G70"/>
  <c r="J70" s="1"/>
  <c r="E71"/>
  <c r="D71" s="1"/>
  <c r="S69"/>
  <c r="V69" s="1"/>
  <c r="AJ69" s="1"/>
  <c r="Q70"/>
  <c r="E81" i="18"/>
  <c r="P70" i="17" l="1"/>
  <c r="AI70" s="1"/>
  <c r="AL93"/>
  <c r="AJ94"/>
  <c r="AL94" s="1"/>
  <c r="I5" i="9"/>
  <c r="S111" i="17"/>
  <c r="V111" s="1"/>
  <c r="AJ111" s="1"/>
  <c r="AM111" s="1"/>
  <c r="AI111"/>
  <c r="E131" i="18"/>
  <c r="Q113" i="17"/>
  <c r="P113" s="1"/>
  <c r="E132" i="18"/>
  <c r="E113" i="17"/>
  <c r="D113" s="1"/>
  <c r="G112"/>
  <c r="J112" s="1"/>
  <c r="AM65"/>
  <c r="J13"/>
  <c r="AJ13" s="1"/>
  <c r="V67"/>
  <c r="E6" i="9" s="1"/>
  <c r="R6" s="1"/>
  <c r="R8" s="1"/>
  <c r="S70" i="17"/>
  <c r="V70" s="1"/>
  <c r="AJ70" s="1"/>
  <c r="Q71"/>
  <c r="G71"/>
  <c r="J71" s="1"/>
  <c r="E72"/>
  <c r="D72" s="1"/>
  <c r="E82" i="18"/>
  <c r="I16" i="9" l="1"/>
  <c r="V5"/>
  <c r="V8" s="1"/>
  <c r="P71" i="17"/>
  <c r="AI71" s="1"/>
  <c r="S112"/>
  <c r="V112" s="1"/>
  <c r="AJ112" s="1"/>
  <c r="AM112" s="1"/>
  <c r="AI112"/>
  <c r="AK13"/>
  <c r="E114"/>
  <c r="D114" s="1"/>
  <c r="G113"/>
  <c r="J113" s="1"/>
  <c r="Q114"/>
  <c r="P114" s="1"/>
  <c r="E16" i="9"/>
  <c r="V14" i="17"/>
  <c r="AL69"/>
  <c r="G72"/>
  <c r="J72" s="1"/>
  <c r="E73"/>
  <c r="D73" s="1"/>
  <c r="S71"/>
  <c r="V71" s="1"/>
  <c r="AJ71" s="1"/>
  <c r="Q72"/>
  <c r="E83" i="18"/>
  <c r="P72" i="17" l="1"/>
  <c r="AI72" s="1"/>
  <c r="S113"/>
  <c r="V113" s="1"/>
  <c r="AJ113" s="1"/>
  <c r="AM113" s="1"/>
  <c r="AI113"/>
  <c r="AI98"/>
  <c r="B6" i="9"/>
  <c r="O6" s="1"/>
  <c r="AK14" i="17"/>
  <c r="E115"/>
  <c r="D115" s="1"/>
  <c r="G114"/>
  <c r="J114" s="1"/>
  <c r="E133" i="18"/>
  <c r="Q115" i="17"/>
  <c r="P115" s="1"/>
  <c r="S98"/>
  <c r="V98" s="1"/>
  <c r="V58"/>
  <c r="J14"/>
  <c r="AI14" s="1"/>
  <c r="AL70"/>
  <c r="Q73"/>
  <c r="G98"/>
  <c r="J98" s="1"/>
  <c r="G73"/>
  <c r="J73" s="1"/>
  <c r="E74"/>
  <c r="D74" s="1"/>
  <c r="E84" i="18"/>
  <c r="S72" i="17" l="1"/>
  <c r="V72" s="1"/>
  <c r="AJ72" s="1"/>
  <c r="P73"/>
  <c r="AI73" s="1"/>
  <c r="AI115"/>
  <c r="AJ98"/>
  <c r="S114"/>
  <c r="V114" s="1"/>
  <c r="AJ114" s="1"/>
  <c r="AM114" s="1"/>
  <c r="AI114"/>
  <c r="Q116"/>
  <c r="P116" s="1"/>
  <c r="S115"/>
  <c r="V115" s="1"/>
  <c r="E134" i="18"/>
  <c r="E116" i="17"/>
  <c r="D116" s="1"/>
  <c r="G115"/>
  <c r="J115" s="1"/>
  <c r="AO13"/>
  <c r="AL71"/>
  <c r="AK16"/>
  <c r="J58"/>
  <c r="B5" i="9"/>
  <c r="O5" s="1"/>
  <c r="O8" s="1"/>
  <c r="E75" i="17"/>
  <c r="D75" s="1"/>
  <c r="G74"/>
  <c r="J74" s="1"/>
  <c r="Q74"/>
  <c r="E85" i="18"/>
  <c r="P74" i="17" l="1"/>
  <c r="AI74" s="1"/>
  <c r="S73"/>
  <c r="V73" s="1"/>
  <c r="AJ73" s="1"/>
  <c r="AL73" s="1"/>
  <c r="AI99"/>
  <c r="AJ115"/>
  <c r="AM115" s="1"/>
  <c r="Q117"/>
  <c r="P117" s="1"/>
  <c r="E117"/>
  <c r="D117" s="1"/>
  <c r="G116"/>
  <c r="J116" s="1"/>
  <c r="E135" i="18"/>
  <c r="AJ14" i="17"/>
  <c r="AJ58" s="1"/>
  <c r="S99"/>
  <c r="V99" s="1"/>
  <c r="B16" i="9"/>
  <c r="AL72" i="17"/>
  <c r="E86" i="18"/>
  <c r="Q75" i="17"/>
  <c r="S74"/>
  <c r="V74" s="1"/>
  <c r="AJ74" s="1"/>
  <c r="E76"/>
  <c r="D76" s="1"/>
  <c r="G75"/>
  <c r="J75" s="1"/>
  <c r="G99"/>
  <c r="J99" s="1"/>
  <c r="P75" l="1"/>
  <c r="AI75" s="1"/>
  <c r="S116"/>
  <c r="V116" s="1"/>
  <c r="AJ116" s="1"/>
  <c r="AM116" s="1"/>
  <c r="AI116"/>
  <c r="AJ99"/>
  <c r="AI100"/>
  <c r="Q118"/>
  <c r="P118" s="1"/>
  <c r="E118"/>
  <c r="D118" s="1"/>
  <c r="G117"/>
  <c r="J117" s="1"/>
  <c r="E136" i="18"/>
  <c r="S100" i="17"/>
  <c r="V100" s="1"/>
  <c r="P102"/>
  <c r="AI15"/>
  <c r="G100"/>
  <c r="J100" s="1"/>
  <c r="D102"/>
  <c r="AL74"/>
  <c r="Q76"/>
  <c r="S75"/>
  <c r="V75" s="1"/>
  <c r="AJ75" s="1"/>
  <c r="E77"/>
  <c r="D77" s="1"/>
  <c r="G76"/>
  <c r="J76" s="1"/>
  <c r="P76" l="1"/>
  <c r="AI76" s="1"/>
  <c r="AJ100"/>
  <c r="AI102"/>
  <c r="S117"/>
  <c r="V117" s="1"/>
  <c r="AJ117" s="1"/>
  <c r="AM117" s="1"/>
  <c r="AI117"/>
  <c r="E119"/>
  <c r="D119" s="1"/>
  <c r="G118"/>
  <c r="J118" s="1"/>
  <c r="E137" i="18"/>
  <c r="Q119" i="17"/>
  <c r="P119" s="1"/>
  <c r="E78"/>
  <c r="D78" s="1"/>
  <c r="G77"/>
  <c r="J77" s="1"/>
  <c r="AL75"/>
  <c r="Q77"/>
  <c r="S76"/>
  <c r="V76" s="1"/>
  <c r="AJ76" s="1"/>
  <c r="P77" l="1"/>
  <c r="AI77" s="1"/>
  <c r="AI101"/>
  <c r="S118"/>
  <c r="V118" s="1"/>
  <c r="AJ118" s="1"/>
  <c r="AM118" s="1"/>
  <c r="AI118"/>
  <c r="Q120"/>
  <c r="P120" s="1"/>
  <c r="E138" i="18"/>
  <c r="E120" i="17"/>
  <c r="D120" s="1"/>
  <c r="G119"/>
  <c r="J119" s="1"/>
  <c r="G78"/>
  <c r="J78" s="1"/>
  <c r="J79" s="1"/>
  <c r="F5" i="9" s="1"/>
  <c r="S5" s="1"/>
  <c r="S77" i="17"/>
  <c r="V77" s="1"/>
  <c r="AJ77" s="1"/>
  <c r="Q78"/>
  <c r="AL76"/>
  <c r="P78" l="1"/>
  <c r="AI78" s="1"/>
  <c r="S101"/>
  <c r="V101" s="1"/>
  <c r="S119"/>
  <c r="V119" s="1"/>
  <c r="AJ119" s="1"/>
  <c r="AM119" s="1"/>
  <c r="AI119"/>
  <c r="Q121"/>
  <c r="P121" s="1"/>
  <c r="E121"/>
  <c r="D121" s="1"/>
  <c r="G120"/>
  <c r="J120" s="1"/>
  <c r="E139" i="18"/>
  <c r="S102" i="17"/>
  <c r="V102" s="1"/>
  <c r="G102"/>
  <c r="J102" s="1"/>
  <c r="G101"/>
  <c r="AL77"/>
  <c r="S78" l="1"/>
  <c r="V78" s="1"/>
  <c r="AJ78" s="1"/>
  <c r="AJ79" s="1"/>
  <c r="AK80" s="1"/>
  <c r="V79"/>
  <c r="F6" i="9" s="1"/>
  <c r="S120" i="17"/>
  <c r="V120" s="1"/>
  <c r="AJ120" s="1"/>
  <c r="AM120" s="1"/>
  <c r="AI120"/>
  <c r="V103"/>
  <c r="J6" i="9" s="1"/>
  <c r="W6" s="1"/>
  <c r="AJ102" i="17"/>
  <c r="AK101" s="1"/>
  <c r="Q122"/>
  <c r="P122" s="1"/>
  <c r="E122"/>
  <c r="D122" s="1"/>
  <c r="G121"/>
  <c r="J121" s="1"/>
  <c r="E140" i="18"/>
  <c r="J101" i="17"/>
  <c r="AJ101" s="1"/>
  <c r="F16" i="9" l="1"/>
  <c r="S6"/>
  <c r="S8" s="1"/>
  <c r="S121" i="17"/>
  <c r="V121" s="1"/>
  <c r="AJ121" s="1"/>
  <c r="AM121" s="1"/>
  <c r="AI121"/>
  <c r="E141" i="18"/>
  <c r="Q123" i="17"/>
  <c r="P123" s="1"/>
  <c r="E123"/>
  <c r="D123" s="1"/>
  <c r="G122"/>
  <c r="J122" s="1"/>
  <c r="AL78"/>
  <c r="J103"/>
  <c r="AI103" s="1"/>
  <c r="S122" l="1"/>
  <c r="V122" s="1"/>
  <c r="AJ122" s="1"/>
  <c r="AM122" s="1"/>
  <c r="AI122"/>
  <c r="Q124"/>
  <c r="P124" s="1"/>
  <c r="E124"/>
  <c r="D124" s="1"/>
  <c r="G123"/>
  <c r="J123" s="1"/>
  <c r="AJ103"/>
  <c r="AK102"/>
  <c r="J5" i="9"/>
  <c r="W5" s="1"/>
  <c r="W8" s="1"/>
  <c r="S123" i="17" l="1"/>
  <c r="V123" s="1"/>
  <c r="AJ123" s="1"/>
  <c r="AM123" s="1"/>
  <c r="AI123"/>
  <c r="Q125"/>
  <c r="P125" s="1"/>
  <c r="E125"/>
  <c r="D125" s="1"/>
  <c r="G124"/>
  <c r="J124" s="1"/>
  <c r="J16" i="9"/>
  <c r="AI104" i="17"/>
  <c r="S124" l="1"/>
  <c r="V124" s="1"/>
  <c r="AJ124" s="1"/>
  <c r="AM124" s="1"/>
  <c r="AI124"/>
  <c r="Q126"/>
  <c r="P126" s="1"/>
  <c r="E126"/>
  <c r="D126" s="1"/>
  <c r="G125"/>
  <c r="J125" s="1"/>
  <c r="S125" l="1"/>
  <c r="V125" s="1"/>
  <c r="AJ125" s="1"/>
  <c r="AM125" s="1"/>
  <c r="AI125"/>
  <c r="Q127"/>
  <c r="P127" s="1"/>
  <c r="E127"/>
  <c r="D127" s="1"/>
  <c r="G126"/>
  <c r="J126" s="1"/>
  <c r="S126" l="1"/>
  <c r="V126" s="1"/>
  <c r="AJ126" s="1"/>
  <c r="AM126" s="1"/>
  <c r="AI126"/>
  <c r="E128"/>
  <c r="G127"/>
  <c r="J127" s="1"/>
  <c r="Q128"/>
  <c r="S127" l="1"/>
  <c r="V127" s="1"/>
  <c r="AJ127" s="1"/>
  <c r="AM127" s="1"/>
  <c r="AI127"/>
  <c r="Q129"/>
  <c r="S128"/>
  <c r="V128" s="1"/>
  <c r="E129"/>
  <c r="G128"/>
  <c r="J128" s="1"/>
  <c r="H130"/>
  <c r="AJ128" l="1"/>
  <c r="AM128" s="1"/>
  <c r="Q130"/>
  <c r="P130" s="1"/>
  <c r="S129"/>
  <c r="V129" s="1"/>
  <c r="E130"/>
  <c r="D130" s="1"/>
  <c r="G129"/>
  <c r="J129" s="1"/>
  <c r="AI130" l="1"/>
  <c r="AJ129"/>
  <c r="AM129" s="1"/>
  <c r="Q131"/>
  <c r="S130"/>
  <c r="V130" s="1"/>
  <c r="E131"/>
  <c r="G130"/>
  <c r="J130" s="1"/>
  <c r="S131" l="1"/>
  <c r="V131" s="1"/>
  <c r="AJ131" s="1"/>
  <c r="P131"/>
  <c r="AI131" s="1"/>
  <c r="G131"/>
  <c r="J131" s="1"/>
  <c r="D131"/>
  <c r="AJ130"/>
  <c r="J132"/>
  <c r="V132" l="1"/>
  <c r="V133" s="1"/>
  <c r="V134" s="1"/>
  <c r="AN115"/>
  <c r="AN117" s="1"/>
  <c r="AM131"/>
  <c r="J133"/>
  <c r="J134" s="1"/>
  <c r="J135" s="1"/>
  <c r="K5" i="9"/>
  <c r="X5" s="1"/>
  <c r="AH135" i="17" l="1"/>
  <c r="K6" i="9"/>
  <c r="V135" i="17"/>
  <c r="AH139" s="1"/>
  <c r="AG141" s="1"/>
  <c r="AN108"/>
  <c r="AN110" s="1"/>
  <c r="AM130"/>
  <c r="AJ132"/>
  <c r="L5" i="9"/>
  <c r="N5" s="1"/>
  <c r="L6" l="1"/>
  <c r="N6" s="1"/>
  <c r="N8" s="1"/>
  <c r="N15" s="1"/>
  <c r="X6"/>
  <c r="X8" s="1"/>
  <c r="AJ133" i="17"/>
  <c r="AJ134" s="1"/>
  <c r="AJ136"/>
  <c r="K16" i="9"/>
</calcChain>
</file>

<file path=xl/sharedStrings.xml><?xml version="1.0" encoding="utf-8"?>
<sst xmlns="http://schemas.openxmlformats.org/spreadsheetml/2006/main" count="2630" uniqueCount="367">
  <si>
    <t>Комментарий</t>
  </si>
  <si>
    <t>№ п/п</t>
  </si>
  <si>
    <t>Нормативное количество одновременно оказываемых услуг</t>
  </si>
  <si>
    <t>Наименование  (вид материального запаса/основного средства)</t>
  </si>
  <si>
    <t xml:space="preserve">Наименование ресурса </t>
  </si>
  <si>
    <t xml:space="preserve">Нормативные затраты </t>
  </si>
  <si>
    <t>2. Материальные запасы/основные средства, потребляемые в процессе оказания государственной услуги</t>
  </si>
  <si>
    <t>1. Оплата труда работников, непосредственно связанных с оказанием услуги</t>
  </si>
  <si>
    <t>3. Иные ресурсы, непосредственно связанные с оказанием государственной услуги</t>
  </si>
  <si>
    <t>Вид ресурса</t>
  </si>
  <si>
    <t>Наименование ресурса</t>
  </si>
  <si>
    <t>Плановые затраты</t>
  </si>
  <si>
    <t>1. Коммунальные услуги</t>
  </si>
  <si>
    <t>Теплоэнергия</t>
  </si>
  <si>
    <t>Холодное водоснабжение</t>
  </si>
  <si>
    <t>Водоотведение</t>
  </si>
  <si>
    <t>Электроэнергия 1</t>
  </si>
  <si>
    <t>Техническое обслуживание и регламентно-профилактический ремонт систем охранно-тревожной сигнализации</t>
  </si>
  <si>
    <t>Проведение текущего ремонта</t>
  </si>
  <si>
    <t>Вывоз ТБО</t>
  </si>
  <si>
    <t>Показатель объема</t>
  </si>
  <si>
    <t>4. Услуги связи</t>
  </si>
  <si>
    <t>Абонентская связь</t>
  </si>
  <si>
    <t>Временные характеристики</t>
  </si>
  <si>
    <t>Интернет</t>
  </si>
  <si>
    <t>Иные услуги связи</t>
  </si>
  <si>
    <t>5. Транспортные услуги</t>
  </si>
  <si>
    <t>ИТОГО</t>
  </si>
  <si>
    <t>Наименование показателя объема</t>
  </si>
  <si>
    <t>количество номеров, ед.</t>
  </si>
  <si>
    <t>количество разовых услуг, ед.</t>
  </si>
  <si>
    <t>фонд оплаты труда</t>
  </si>
  <si>
    <t>ОТ1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</si>
  <si>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</si>
  <si>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</si>
  <si>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</si>
  <si>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</si>
  <si>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</si>
  <si>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</si>
  <si>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</si>
  <si>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</si>
  <si>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12=1+2+3+4+5+6+7+8+9+10+11</t>
  </si>
  <si>
    <t>ИТОГО оплата труда</t>
  </si>
  <si>
    <t>ИТОГО матзапасы/основные средства</t>
  </si>
  <si>
    <t>ИТОГО иные ресурсы</t>
  </si>
  <si>
    <t>Комментарий (обоснование использования ресурсов, их состава и количественных характеристик)</t>
  </si>
  <si>
    <r>
      <t>м</t>
    </r>
    <r>
      <rPr>
        <vertAlign val="superscript"/>
        <sz val="10"/>
        <color indexed="8"/>
        <rFont val="Times New Roman"/>
        <family val="1"/>
        <charset val="204"/>
      </rPr>
      <t>3</t>
    </r>
  </si>
  <si>
    <t>кВт час.</t>
  </si>
  <si>
    <t>Ккал</t>
  </si>
  <si>
    <t>Директор</t>
  </si>
  <si>
    <t>Зам.директора</t>
  </si>
  <si>
    <t>Рабочий по обслуживанию и ремонту зданий</t>
  </si>
  <si>
    <t>сумма в год</t>
  </si>
  <si>
    <t>договор</t>
  </si>
  <si>
    <t>Уборщик</t>
  </si>
  <si>
    <t>Норма ресурса на единицу услуги</t>
  </si>
  <si>
    <t>7=5*6</t>
  </si>
  <si>
    <t>Фактическое количество человеко-часов персонала, задействованного в процессе оказания услуги</t>
  </si>
  <si>
    <t>Норма (шт.)</t>
  </si>
  <si>
    <t>Расчет произведен на основе суммарного количества используемых мат.запасов/основных средств и количества посетителей (данные управленческой отчетности)</t>
  </si>
  <si>
    <t>8=5*7/6</t>
  </si>
  <si>
    <t>Срок полезного использования</t>
  </si>
  <si>
    <t>Расчет произведен на основе суммарного количества используемых иных ресурсов и количества посетителей (данные управленческой отчетности)</t>
  </si>
  <si>
    <t>Нормативное количество ресурса материального запаса/основного средства (шт)</t>
  </si>
  <si>
    <t>6=3*5/4</t>
  </si>
  <si>
    <t>7. Прочие общехозяйственные нужды</t>
  </si>
  <si>
    <t>6. Работники, которые не принимают непосредственного участия в оказании государственной услуги</t>
  </si>
  <si>
    <t>3. Содержание объектов особо ценного движимого имущества, необходимого для выполнения государственного задания</t>
  </si>
  <si>
    <t>2. Содержание объектов недвижимого имущества, необходимого для выполнения государственного задания</t>
  </si>
  <si>
    <t>МЗ и ОЦДИ</t>
  </si>
  <si>
    <t>Затраты, непосредственно связанные с оказанием услуги, руб.</t>
  </si>
  <si>
    <t>Затраты на общехозяйственные нужды, руб</t>
  </si>
  <si>
    <t>Базовый норматив затрат на оказание услуги, руб.</t>
  </si>
  <si>
    <t>Срок полезного использования, лет</t>
  </si>
  <si>
    <t>Цена единицы  ресурса, руб</t>
  </si>
  <si>
    <t>Тариф (Цена), руб</t>
  </si>
  <si>
    <t>Педагог-психолог</t>
  </si>
  <si>
    <t>5=3/4</t>
  </si>
  <si>
    <t>Норма трудозатрат на оказание единицы государственной услуги (шт.ед.)</t>
  </si>
  <si>
    <t>Классные журналы</t>
  </si>
  <si>
    <t>Бумага для офисной техники</t>
  </si>
  <si>
    <t>Канцелярский набор</t>
  </si>
  <si>
    <t>Набор шариковых ручек</t>
  </si>
  <si>
    <t>Набор гелевых ручек</t>
  </si>
  <si>
    <t>Стержень для ручек</t>
  </si>
  <si>
    <t>Архивная папка</t>
  </si>
  <si>
    <t>Скотч</t>
  </si>
  <si>
    <t>Ножницы</t>
  </si>
  <si>
    <t>Пластиковая папка</t>
  </si>
  <si>
    <t>Набор фломастеров</t>
  </si>
  <si>
    <t>Клей канцелярский</t>
  </si>
  <si>
    <t>картридж</t>
  </si>
  <si>
    <t>тонер</t>
  </si>
  <si>
    <t>Уборка территории от снега</t>
  </si>
  <si>
    <t>Оплата грузовых перевозок по доставке грузов</t>
  </si>
  <si>
    <t>пересылка почтовых отправлений</t>
  </si>
  <si>
    <t>Норма времени</t>
  </si>
  <si>
    <t>Дворник</t>
  </si>
  <si>
    <t>Обучение</t>
  </si>
  <si>
    <t>Стоимость 1ч.-часа ресурса, руб</t>
  </si>
  <si>
    <t>Норма шт.единиц</t>
  </si>
  <si>
    <t>медосмотр (пед работники)</t>
  </si>
  <si>
    <t>ремонт и обслуживание оргтехники</t>
  </si>
  <si>
    <t>командировочные расходы педработников</t>
  </si>
  <si>
    <t>Интернет (компьютерный класс)</t>
  </si>
  <si>
    <t>Участие воспитанников в различных мероприятиях за пределами района (проезд, проживание, питание)</t>
  </si>
  <si>
    <t>Питание участников мероприятий (олимпиады, конкурсы)</t>
  </si>
  <si>
    <t>Награждение участников мероприятий</t>
  </si>
  <si>
    <t xml:space="preserve">ИТОГО БАЗОВЫЙ НОРМАТИВ ЗАТРАТ, НЕПОСРЕДСТВЕННО СВЯЗАННЫХ С ОКАЗАНИЕМ i-ОЙ ГОСУДАРСТВЕННОЙ УСЛУГИ </t>
  </si>
  <si>
    <t>ИТОГО БАЗОВЫЙ НОРМАТИВ ЗАТРАТ НА ОБЩЕХОЗЯЙСТВЕННЫЕ НУЖДЫ</t>
  </si>
  <si>
    <t>ИТОГО БАЗОВЫЙ НОРМАТИВ ЗАТРАТ НА ОКАЗАНИЕ УСЛУГИ</t>
  </si>
  <si>
    <t>9=6*7</t>
  </si>
  <si>
    <t>Обслуживание систем имущества (промывка и опрессовка систем отопления, обслуживание приборов учета, поверка теплосчетчиков, аварийнор-диспетчерское обслуживание</t>
  </si>
  <si>
    <t>Дератизация и дезинфекция</t>
  </si>
  <si>
    <t>Медикаменты</t>
  </si>
  <si>
    <t>Демеркуризация отработанных ламп</t>
  </si>
  <si>
    <t>Продление лицензии программного обеспечения</t>
  </si>
  <si>
    <t>итого</t>
  </si>
  <si>
    <t>Налоги, госпошлина</t>
  </si>
  <si>
    <t>пособие по уходу за ребенком до 3-х лет</t>
  </si>
  <si>
    <t>Обслуживание тревожной кнопки</t>
  </si>
  <si>
    <t>Медосмотр административного персонала</t>
  </si>
  <si>
    <t>Хоз.товары (дезинфицирующие, моющие средства)</t>
  </si>
  <si>
    <t>Наименованиеимуниципальной услуги</t>
  </si>
  <si>
    <t>Расчет произведен на основе суммарного количества человеко-часов и количества посетителей (данные управленческой отчетности)</t>
  </si>
  <si>
    <t>Учитель</t>
  </si>
  <si>
    <t>Учитель-логопед</t>
  </si>
  <si>
    <t>Набор  для маркерной доски (маркеры, губка, спрей, магниты)</t>
  </si>
  <si>
    <t>Набор файлов</t>
  </si>
  <si>
    <t>Материалы для уроков ОБЖ</t>
  </si>
  <si>
    <t>сумма договора в год</t>
  </si>
  <si>
    <t>кол-во ед.оргтехники</t>
  </si>
  <si>
    <t>Сторож</t>
  </si>
  <si>
    <t>командировочные расходы административного персонала</t>
  </si>
  <si>
    <t>Материалы для занятий</t>
  </si>
  <si>
    <t>групп</t>
  </si>
  <si>
    <t>Старший воспитатель</t>
  </si>
  <si>
    <t>Музыкальный руководитель</t>
  </si>
  <si>
    <t>Инструктор по физической культуре</t>
  </si>
  <si>
    <t>Младший воспитатель</t>
  </si>
  <si>
    <t>Машинист по стирке белья</t>
  </si>
  <si>
    <t>Машинки</t>
  </si>
  <si>
    <t>шт</t>
  </si>
  <si>
    <t>Мячи в ассортименте</t>
  </si>
  <si>
    <t>Набор для игр с песком</t>
  </si>
  <si>
    <t>Развивающие настольные игры</t>
  </si>
  <si>
    <t>Куклы</t>
  </si>
  <si>
    <t>набор</t>
  </si>
  <si>
    <t>Краски акварельные</t>
  </si>
  <si>
    <t>Альбом д/рисования 40 л</t>
  </si>
  <si>
    <t>Пластилин 12 цв</t>
  </si>
  <si>
    <t>Картон цветной</t>
  </si>
  <si>
    <t>Детские учебные пособия</t>
  </si>
  <si>
    <t>Тарелка для 1 блюда детская</t>
  </si>
  <si>
    <t>Тарелка для 2 блюда детская</t>
  </si>
  <si>
    <t>Кружка с детским рисунком</t>
  </si>
  <si>
    <t>кастрюля никелированная 30 л</t>
  </si>
  <si>
    <t>Доска разделочная деревянная</t>
  </si>
  <si>
    <t>Бумага д/принтера</t>
  </si>
  <si>
    <t>Тетрадь общая</t>
  </si>
  <si>
    <t>Ручка шариковая</t>
  </si>
  <si>
    <t>Поверка тепловодосчетчиков</t>
  </si>
  <si>
    <t>Годовое техобслуживание узлов учета тепло-водоснабжения (ООО Теплоучет)</t>
  </si>
  <si>
    <t>Мягкий инвентарь  (постельное, подушки)</t>
  </si>
  <si>
    <t>Медосмотр обслуживающего персонала</t>
  </si>
  <si>
    <t>Обучение электро-теплотехнического персонала</t>
  </si>
  <si>
    <t>Услуги Центра гигины и эпидемиологии</t>
  </si>
  <si>
    <t>Проведение испытаний устройст заземления и изоляции электросетей</t>
  </si>
  <si>
    <t>Обслуживание системы наружного видеонаблюдения</t>
  </si>
  <si>
    <t>бюджет</t>
  </si>
  <si>
    <t>Организация питания воспитанников</t>
  </si>
  <si>
    <t>Прочие услуги</t>
  </si>
  <si>
    <t>дошкольное образование</t>
  </si>
  <si>
    <t>край</t>
  </si>
  <si>
    <t>Приложение № 2 к распоряжению Управления образования администрации Северо-Енисейского района от __.__.2015 №___</t>
  </si>
  <si>
    <t>Значения натуральных норм, необходимых для определения базовых нормативов затрат на оказание муниципальных услуг</t>
  </si>
  <si>
    <t>присмотр и уход</t>
  </si>
  <si>
    <t>Наименование муниципальной услуги</t>
  </si>
  <si>
    <t>Уникальный номер реестровой записи</t>
  </si>
  <si>
    <t>Наименование натуральной нормы</t>
  </si>
  <si>
    <t>Единица измерения натуральной нормы</t>
  </si>
  <si>
    <t>Значение натуральной нормы</t>
  </si>
  <si>
    <t>576ч 36 уч.недель</t>
  </si>
  <si>
    <t>6 групп</t>
  </si>
  <si>
    <t>135 чел.</t>
  </si>
  <si>
    <t>0247588</t>
  </si>
  <si>
    <t>0247408</t>
  </si>
  <si>
    <t>13ст</t>
  </si>
  <si>
    <t>18-что это</t>
  </si>
  <si>
    <t xml:space="preserve">046490000132027040511784000301000301001100101 </t>
  </si>
  <si>
    <t>1. Работники, непосредственно связанные с оказанием муниципальной услуги</t>
  </si>
  <si>
    <t>211+213</t>
  </si>
  <si>
    <t>шт.ед.</t>
  </si>
  <si>
    <t>Воспитатель</t>
  </si>
  <si>
    <r>
      <rPr>
        <sz val="9"/>
        <color rgb="FFFF0000"/>
        <rFont val="Times New Roman"/>
        <family val="1"/>
        <charset val="204"/>
      </rPr>
      <t>414,85руб = 52308руб* 12мес* 1,302(начисления на ФОТ)/ 1970рабочих часов в год</t>
    </r>
    <r>
      <rPr>
        <sz val="9"/>
        <color theme="1"/>
        <rFont val="Times New Roman"/>
        <family val="1"/>
        <charset val="204"/>
      </rPr>
      <t xml:space="preserve">
Расчет произведен на основе суммарного количества человеко-часов и количества посетителей (данные управленческой отчетности)</t>
    </r>
  </si>
  <si>
    <t>часов в год на 1 группу</t>
  </si>
  <si>
    <t>1.2. Материальные запасы и основные средства, потребляемые в процессе оказания муниципальной услуги</t>
  </si>
  <si>
    <t>ауп</t>
  </si>
  <si>
    <t xml:space="preserve">Игровая палатка </t>
  </si>
  <si>
    <t>Контейнер для игрушек</t>
  </si>
  <si>
    <t>Графин стеклянный с крышкой</t>
  </si>
  <si>
    <t>Игровые наборы  "Золушка", "Утюжок" и т.д.</t>
  </si>
  <si>
    <t>Шар для сухого бассейна</t>
  </si>
  <si>
    <t>Пылесос детский</t>
  </si>
  <si>
    <t>Карандаш простой</t>
  </si>
  <si>
    <t>Игровой костюм "Моряк"</t>
  </si>
  <si>
    <t>Карандаши цветные 18 цв</t>
  </si>
  <si>
    <t>Игровой костюм "Десантник"</t>
  </si>
  <si>
    <t>Фломастеры</t>
  </si>
  <si>
    <t>Пилотка детская комуфляж</t>
  </si>
  <si>
    <t>Набор кисточек</t>
  </si>
  <si>
    <t>Набор для выпечки игровой</t>
  </si>
  <si>
    <t>Дидактические наборы</t>
  </si>
  <si>
    <t>Набор  продуктов игровых</t>
  </si>
  <si>
    <t>Игры развивающие настольные</t>
  </si>
  <si>
    <t>Цветная бумага</t>
  </si>
  <si>
    <t>Клей-карандаш</t>
  </si>
  <si>
    <t xml:space="preserve">Гуашь </t>
  </si>
  <si>
    <t>Кинетический песок</t>
  </si>
  <si>
    <t>Порошок стиральный автомат детский</t>
  </si>
  <si>
    <t>Туалетная бумага</t>
  </si>
  <si>
    <t xml:space="preserve">Салфетки </t>
  </si>
  <si>
    <t xml:space="preserve">Конструкторы </t>
  </si>
  <si>
    <t>чел</t>
  </si>
  <si>
    <t>подписка на периодические издания</t>
  </si>
  <si>
    <t>край 7588</t>
  </si>
  <si>
    <t>кВт/час</t>
  </si>
  <si>
    <t>Гкал</t>
  </si>
  <si>
    <t>м3</t>
  </si>
  <si>
    <t>2. Содержание объектов недвижимого имущества, необходимого для выполнения муниципального задания</t>
  </si>
  <si>
    <t>340-я</t>
  </si>
  <si>
    <t>количество точек доступа, ед</t>
  </si>
  <si>
    <t>Заведующий</t>
  </si>
  <si>
    <t>Заведующий хозяйством</t>
  </si>
  <si>
    <t>Делопроизводитель</t>
  </si>
  <si>
    <t>Кастелянша</t>
  </si>
  <si>
    <t>Повар</t>
  </si>
  <si>
    <t>Рабочий кухни</t>
  </si>
  <si>
    <t>0248800</t>
  </si>
  <si>
    <t>Комплектующие к оргтехнике</t>
  </si>
  <si>
    <t>мб</t>
  </si>
  <si>
    <t>Аттестация условий рабочих мест</t>
  </si>
  <si>
    <t>Услугиги Центра гигиены и эпидемиологии</t>
  </si>
  <si>
    <t>Услуги Центра гигиены и эпидемиологии</t>
  </si>
  <si>
    <t>Услуги по защите персональных данных</t>
  </si>
  <si>
    <t>Монтаж интернет-оборудования</t>
  </si>
  <si>
    <t>Подписка, услуги Семис</t>
  </si>
  <si>
    <t>Проведение испытаний устройств заземления и изоляции электросетей</t>
  </si>
  <si>
    <t>Экспертиза огнезащитной обработкистроительных конструкций</t>
  </si>
  <si>
    <t>Командировочные расходы административного персонала</t>
  </si>
  <si>
    <t>226,212,222</t>
  </si>
  <si>
    <t>Спецодежда</t>
  </si>
  <si>
    <t>компл</t>
  </si>
  <si>
    <t>Спецодежда (мягкий инвентарь)</t>
  </si>
  <si>
    <t>комплект</t>
  </si>
  <si>
    <t>прочие материальные запасы для медкабинета (шпатель, стер.перчатки, маски, пробирки и т д.)</t>
  </si>
  <si>
    <t>Гофрированная цветная бумага</t>
  </si>
  <si>
    <t>Постельное белье (детское)</t>
  </si>
  <si>
    <t>пачка</t>
  </si>
  <si>
    <t>Бумага для принтера 500 л</t>
  </si>
  <si>
    <t>Полотенце махровое</t>
  </si>
  <si>
    <t>норматив</t>
  </si>
  <si>
    <t xml:space="preserve">340-я    </t>
  </si>
  <si>
    <t>разнесено</t>
  </si>
  <si>
    <t>продукты</t>
  </si>
  <si>
    <t>18900+4500-суточные</t>
  </si>
  <si>
    <t>медик</t>
  </si>
  <si>
    <t>стрмат</t>
  </si>
  <si>
    <t>15600+10200 команд</t>
  </si>
  <si>
    <t>мм/инв</t>
  </si>
  <si>
    <t>хоз</t>
  </si>
  <si>
    <t>проч</t>
  </si>
  <si>
    <t>31200+12000 команд</t>
  </si>
  <si>
    <t>АУПы</t>
  </si>
  <si>
    <t>командир</t>
  </si>
  <si>
    <t>посуда</t>
  </si>
  <si>
    <t>комплектующие</t>
  </si>
  <si>
    <t>Реализация основных общеобразовательных программ дошкольного образования (3-8 лет) дошкольные группы</t>
  </si>
  <si>
    <t>Обслуживание систем имущества (промывка и опрессовка систем отопления, обслуживание приборов учета,  аварийнор-диспетчерское обслуживание</t>
  </si>
  <si>
    <t xml:space="preserve">046490000132027040511785004300400006003100101 </t>
  </si>
  <si>
    <t>Ведра, баки</t>
  </si>
  <si>
    <t xml:space="preserve">046490000132027040511785004300400007002100101 </t>
  </si>
  <si>
    <t>Присмотр и уход (группа продленного дня)</t>
  </si>
  <si>
    <t>Присмотр и уход (дошкольные группы)</t>
  </si>
  <si>
    <t xml:space="preserve">                                    </t>
  </si>
  <si>
    <t xml:space="preserve">шт. </t>
  </si>
  <si>
    <t>мест</t>
  </si>
  <si>
    <t xml:space="preserve">бюджет </t>
  </si>
  <si>
    <t>НАЧ</t>
  </si>
  <si>
    <t>ОСН</t>
  </si>
  <si>
    <r>
      <t>м</t>
    </r>
    <r>
      <rPr>
        <vertAlign val="superscript"/>
        <sz val="11"/>
        <color indexed="8"/>
        <rFont val="Times New Roman"/>
        <family val="1"/>
        <charset val="204"/>
      </rPr>
      <t>3</t>
    </r>
  </si>
  <si>
    <t>Расчет базового норматива затрат на оказание услуги "Реализация основных общеобразовательных программ начального общего образования"</t>
  </si>
  <si>
    <t>Расчет базового норматива затрат на оказание услуги "Реализация основных общеобразовательных программ основного общего образования"</t>
  </si>
  <si>
    <t>Расчет базового норматива затрат на оказание услуги "Реализация основных общеобразовательных программ начального, основного общего образования"</t>
  </si>
  <si>
    <t xml:space="preserve">Численность </t>
  </si>
  <si>
    <t xml:space="preserve">Расчетный объем финансирования </t>
  </si>
  <si>
    <t>14=13*12</t>
  </si>
  <si>
    <t xml:space="preserve">ИТОГО: </t>
  </si>
  <si>
    <t xml:space="preserve">                Внебюджет</t>
  </si>
  <si>
    <t>Утвержденный объем финансирования (611)</t>
  </si>
  <si>
    <t>Количество потребителей</t>
  </si>
  <si>
    <t>ставки</t>
  </si>
  <si>
    <t>0703          7564</t>
  </si>
  <si>
    <t>прочие транспортные расходы (сдача отчетов, доставка документоов)</t>
  </si>
  <si>
    <t>ТКО</t>
  </si>
  <si>
    <t>Испытание диэлектрических бот и перчаток</t>
  </si>
  <si>
    <t>Замена технического паспорта</t>
  </si>
  <si>
    <t>Услуги Семис</t>
  </si>
  <si>
    <t>ВНЕБЮДЖЕТ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</si>
  <si>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</si>
  <si>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</si>
  <si>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Обеспечение доставки учащихся для проведения ЕГЭ</t>
  </si>
  <si>
    <t>з/п</t>
  </si>
  <si>
    <t>прочие выплаты</t>
  </si>
  <si>
    <t>ком-ки</t>
  </si>
  <si>
    <t>связь</t>
  </si>
  <si>
    <t>транспорт</t>
  </si>
  <si>
    <t>коммуналка</t>
  </si>
  <si>
    <t>сод.им-ва</t>
  </si>
  <si>
    <t>прочие услуги</t>
  </si>
  <si>
    <t>прочие расходы</t>
  </si>
  <si>
    <t>основные расходы</t>
  </si>
  <si>
    <t>мат.запасы</t>
  </si>
  <si>
    <t>школа</t>
  </si>
  <si>
    <t>расчет ДОП:</t>
  </si>
  <si>
    <t>уч-ся</t>
  </si>
  <si>
    <t>недель</t>
  </si>
  <si>
    <t>часов на ставку</t>
  </si>
  <si>
    <t>ставок</t>
  </si>
  <si>
    <t>АУП школа</t>
  </si>
  <si>
    <t>Пед шк.</t>
  </si>
  <si>
    <t>АУП сад</t>
  </si>
  <si>
    <t>Пед сад</t>
  </si>
  <si>
    <t>7564+7409</t>
  </si>
  <si>
    <t>Доска маркерная</t>
  </si>
  <si>
    <t>Мел</t>
  </si>
  <si>
    <t>упаковка</t>
  </si>
  <si>
    <t>медосмотр педработников</t>
  </si>
  <si>
    <t>Водоснабжение</t>
  </si>
  <si>
    <t>кол-во машин</t>
  </si>
  <si>
    <t>проверка</t>
  </si>
  <si>
    <t>Техническое обслуживание и регламентно-профилактический ремонт систем охранно-пожарной сигнализации</t>
  </si>
  <si>
    <t>Обслуживание охранной сигнализации</t>
  </si>
  <si>
    <t>Инструментальный контроль качества</t>
  </si>
  <si>
    <t>Аттестация условий оабочих мест</t>
  </si>
  <si>
    <t>Организация питания воспитанников сада</t>
  </si>
  <si>
    <t>Экспертиза огнезащитной обработки строительных конструкций и текстильных материалов</t>
  </si>
  <si>
    <t>212+226 АУП</t>
  </si>
  <si>
    <t>Прочие материальные запасы</t>
  </si>
  <si>
    <t>340+учебники</t>
  </si>
  <si>
    <t>7564+7588</t>
  </si>
  <si>
    <t>226 АУП школа</t>
  </si>
  <si>
    <t>222 АУП</t>
  </si>
  <si>
    <t>ВНЕБЮДЖЕТ +226</t>
  </si>
  <si>
    <t>Сторительные материалы</t>
  </si>
  <si>
    <t>Канц. Товары</t>
  </si>
  <si>
    <t>Посуда</t>
  </si>
  <si>
    <t>Монтаж теплолузла</t>
  </si>
  <si>
    <t>Услуги интернет</t>
  </si>
  <si>
    <t>Реализация основных общеобразовательных программ основного общего образования (форма очно-заочная)</t>
  </si>
  <si>
    <t>УКП</t>
  </si>
  <si>
    <t>Тьютор</t>
  </si>
  <si>
    <t>,</t>
  </si>
  <si>
    <t>ГСМ</t>
  </si>
  <si>
    <r>
      <t xml:space="preserve">Свод нормативов затрат на выполнение  муниципального задания МБОУ "ВОШ № 9"                                                                                                                                                                             </t>
    </r>
    <r>
      <rPr>
        <sz val="16"/>
        <color theme="1"/>
        <rFont val="Times New Roman"/>
        <family val="1"/>
        <charset val="204"/>
      </rPr>
      <t>(к изменениям бюджетной росписи на 2021 г)</t>
    </r>
  </si>
  <si>
    <t>Муниципальное бюджетное общеобразовательное учреждение "Вельминская общеобразовательная школа № 9"</t>
  </si>
  <si>
    <t>Проверка</t>
  </si>
</sst>
</file>

<file path=xl/styles.xml><?xml version="1.0" encoding="utf-8"?>
<styleSheet xmlns="http://schemas.openxmlformats.org/spreadsheetml/2006/main">
  <numFmts count="20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0.00000000"/>
    <numFmt numFmtId="167" formatCode="0.000"/>
    <numFmt numFmtId="168" formatCode="0.0000000"/>
    <numFmt numFmtId="169" formatCode="0.000000"/>
    <numFmt numFmtId="170" formatCode="0.000000000"/>
    <numFmt numFmtId="171" formatCode="0.00000000000"/>
    <numFmt numFmtId="172" formatCode="#,##0.00_р_."/>
    <numFmt numFmtId="173" formatCode="_-* #,##0.000_р_._-;\-* #,##0.000_р_._-;_-* &quot;-&quot;???_р_._-;_-@_-"/>
    <numFmt numFmtId="174" formatCode="#,##0.00000"/>
    <numFmt numFmtId="175" formatCode="_-* #,##0.00000_р_._-;\-* #,##0.00000_р_._-;_-* &quot;-&quot;??_р_._-;_-@_-"/>
    <numFmt numFmtId="176" formatCode="#,##0.000000"/>
    <numFmt numFmtId="177" formatCode="#,##0.000"/>
    <numFmt numFmtId="178" formatCode="#,##0.0000000"/>
    <numFmt numFmtId="179" formatCode="#,##0.000000000"/>
    <numFmt numFmtId="180" formatCode="_-* #,##0.00000000_р_._-;\-* #,##0.00000000_р_._-;_-* &quot;-&quot;??_р_._-;_-@_-"/>
    <numFmt numFmtId="181" formatCode="_-* #,##0.000\ _₽_-;\-* #,##0.000\ _₽_-;_-* &quot;-&quot;???\ _₽_-;_-@_-"/>
    <numFmt numFmtId="182" formatCode="_-* #,##0.0000000_р_._-;\-* #,##0.0000000_р_._-;_-* &quot;-&quot;??_р_._-;_-@_-"/>
  </numFmts>
  <fonts count="41"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Arial Cyr"/>
      <charset val="204"/>
    </font>
    <font>
      <vertAlign val="superscript"/>
      <sz val="11"/>
      <color indexed="8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4" fillId="0" borderId="0"/>
    <xf numFmtId="0" fontId="9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164" fontId="20" fillId="0" borderId="0" applyFont="0" applyFill="0" applyBorder="0" applyAlignment="0" applyProtection="0"/>
    <xf numFmtId="0" fontId="36" fillId="0" borderId="0"/>
  </cellStyleXfs>
  <cellXfs count="93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wrapText="1"/>
    </xf>
    <xf numFmtId="0" fontId="7" fillId="0" borderId="8" xfId="0" applyFont="1" applyBorder="1" applyAlignment="1">
      <alignment wrapText="1"/>
    </xf>
    <xf numFmtId="0" fontId="7" fillId="4" borderId="1" xfId="0" applyFont="1" applyFill="1" applyBorder="1" applyAlignment="1">
      <alignment horizontal="center"/>
    </xf>
    <xf numFmtId="0" fontId="16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9" fillId="0" borderId="0" xfId="0" applyFont="1"/>
    <xf numFmtId="0" fontId="8" fillId="2" borderId="0" xfId="0" applyFont="1" applyFill="1"/>
    <xf numFmtId="2" fontId="10" fillId="7" borderId="1" xfId="0" applyNumberFormat="1" applyFont="1" applyFill="1" applyBorder="1" applyAlignment="1">
      <alignment horizontal="center"/>
    </xf>
    <xf numFmtId="0" fontId="17" fillId="0" borderId="10" xfId="0" applyFont="1" applyBorder="1" applyAlignment="1">
      <alignment vertical="center" wrapText="1"/>
    </xf>
    <xf numFmtId="164" fontId="8" fillId="0" borderId="0" xfId="23" applyFont="1"/>
    <xf numFmtId="164" fontId="1" fillId="0" borderId="0" xfId="23" applyFont="1"/>
    <xf numFmtId="0" fontId="11" fillId="0" borderId="0" xfId="0" applyFont="1" applyBorder="1" applyAlignment="1">
      <alignment horizontal="left"/>
    </xf>
    <xf numFmtId="0" fontId="17" fillId="0" borderId="0" xfId="0" applyFont="1" applyBorder="1" applyAlignment="1">
      <alignment vertical="center" wrapText="1"/>
    </xf>
    <xf numFmtId="0" fontId="8" fillId="4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/>
    <xf numFmtId="164" fontId="8" fillId="0" borderId="0" xfId="0" applyNumberFormat="1" applyFont="1"/>
    <xf numFmtId="0" fontId="11" fillId="0" borderId="8" xfId="0" applyFont="1" applyBorder="1" applyAlignment="1">
      <alignment horizontal="left"/>
    </xf>
    <xf numFmtId="0" fontId="8" fillId="3" borderId="14" xfId="0" applyFont="1" applyFill="1" applyBorder="1"/>
    <xf numFmtId="0" fontId="7" fillId="0" borderId="14" xfId="0" applyFont="1" applyBorder="1"/>
    <xf numFmtId="0" fontId="8" fillId="3" borderId="14" xfId="0" applyFont="1" applyFill="1" applyBorder="1" applyAlignment="1">
      <alignment wrapText="1"/>
    </xf>
    <xf numFmtId="0" fontId="8" fillId="0" borderId="6" xfId="0" applyFont="1" applyBorder="1" applyAlignment="1">
      <alignment horizontal="justify" vertical="top" wrapText="1"/>
    </xf>
    <xf numFmtId="0" fontId="7" fillId="0" borderId="14" xfId="0" applyFont="1" applyBorder="1" applyAlignment="1">
      <alignment horizontal="center"/>
    </xf>
    <xf numFmtId="164" fontId="1" fillId="0" borderId="0" xfId="0" applyNumberFormat="1" applyFont="1"/>
    <xf numFmtId="2" fontId="7" fillId="0" borderId="1" xfId="0" applyNumberFormat="1" applyFont="1" applyFill="1" applyBorder="1" applyAlignment="1">
      <alignment horizontal="center"/>
    </xf>
    <xf numFmtId="0" fontId="22" fillId="0" borderId="0" xfId="0" applyFont="1" applyFill="1"/>
    <xf numFmtId="2" fontId="7" fillId="0" borderId="14" xfId="0" applyNumberFormat="1" applyFont="1" applyFill="1" applyBorder="1" applyAlignment="1">
      <alignment horizontal="center"/>
    </xf>
    <xf numFmtId="0" fontId="23" fillId="7" borderId="0" xfId="0" applyFont="1" applyFill="1"/>
    <xf numFmtId="0" fontId="12" fillId="0" borderId="0" xfId="0" applyFont="1" applyBorder="1" applyAlignment="1">
      <alignment horizontal="left" wrapText="1"/>
    </xf>
    <xf numFmtId="164" fontId="8" fillId="7" borderId="0" xfId="23" applyFont="1" applyFill="1"/>
    <xf numFmtId="2" fontId="8" fillId="0" borderId="0" xfId="0" applyNumberFormat="1" applyFont="1"/>
    <xf numFmtId="0" fontId="8" fillId="0" borderId="0" xfId="0" applyFont="1" applyFill="1"/>
    <xf numFmtId="0" fontId="17" fillId="0" borderId="14" xfId="0" applyFont="1" applyBorder="1" applyAlignment="1">
      <alignment vertical="center" wrapText="1"/>
    </xf>
    <xf numFmtId="0" fontId="7" fillId="0" borderId="14" xfId="0" applyFont="1" applyBorder="1" applyAlignment="1">
      <alignment wrapText="1"/>
    </xf>
    <xf numFmtId="2" fontId="2" fillId="0" borderId="14" xfId="0" applyNumberFormat="1" applyFont="1" applyBorder="1" applyAlignment="1">
      <alignment horizontal="center" vertical="center" wrapText="1"/>
    </xf>
    <xf numFmtId="0" fontId="1" fillId="2" borderId="14" xfId="0" applyFont="1" applyFill="1" applyBorder="1"/>
    <xf numFmtId="165" fontId="7" fillId="2" borderId="14" xfId="0" applyNumberFormat="1" applyFont="1" applyFill="1" applyBorder="1"/>
    <xf numFmtId="166" fontId="7" fillId="0" borderId="14" xfId="0" applyNumberFormat="1" applyFont="1" applyBorder="1"/>
    <xf numFmtId="2" fontId="7" fillId="3" borderId="14" xfId="0" applyNumberFormat="1" applyFont="1" applyFill="1" applyBorder="1"/>
    <xf numFmtId="164" fontId="8" fillId="0" borderId="0" xfId="23" applyFont="1" applyAlignment="1">
      <alignment horizontal="right"/>
    </xf>
    <xf numFmtId="164" fontId="8" fillId="0" borderId="0" xfId="0" applyNumberFormat="1" applyFont="1" applyAlignment="1">
      <alignment horizontal="right"/>
    </xf>
    <xf numFmtId="172" fontId="22" fillId="0" borderId="0" xfId="0" applyNumberFormat="1" applyFont="1"/>
    <xf numFmtId="4" fontId="8" fillId="0" borderId="0" xfId="0" applyNumberFormat="1" applyFont="1"/>
    <xf numFmtId="0" fontId="23" fillId="0" borderId="14" xfId="0" applyFont="1" applyBorder="1"/>
    <xf numFmtId="2" fontId="8" fillId="0" borderId="14" xfId="0" applyNumberFormat="1" applyFont="1" applyBorder="1"/>
    <xf numFmtId="0" fontId="8" fillId="0" borderId="14" xfId="0" applyFont="1" applyFill="1" applyBorder="1" applyAlignment="1">
      <alignment wrapText="1"/>
    </xf>
    <xf numFmtId="2" fontId="8" fillId="0" borderId="14" xfId="0" applyNumberFormat="1" applyFont="1" applyFill="1" applyBorder="1"/>
    <xf numFmtId="0" fontId="22" fillId="0" borderId="0" xfId="0" applyFont="1"/>
    <xf numFmtId="0" fontId="22" fillId="0" borderId="21" xfId="0" applyFont="1" applyBorder="1"/>
    <xf numFmtId="0" fontId="8" fillId="3" borderId="2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12" fillId="0" borderId="12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8" fillId="3" borderId="2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12" fillId="0" borderId="12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8" fillId="10" borderId="0" xfId="0" applyFont="1" applyFill="1"/>
    <xf numFmtId="0" fontId="8" fillId="11" borderId="0" xfId="0" applyFont="1" applyFill="1"/>
    <xf numFmtId="0" fontId="8" fillId="0" borderId="0" xfId="0" applyFont="1" applyFill="1" applyAlignment="1">
      <alignment horizontal="right"/>
    </xf>
    <xf numFmtId="0" fontId="24" fillId="0" borderId="0" xfId="0" applyFont="1" applyFill="1" applyAlignment="1">
      <alignment wrapText="1"/>
    </xf>
    <xf numFmtId="0" fontId="23" fillId="0" borderId="14" xfId="0" applyFont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16" fillId="10" borderId="14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8" fillId="0" borderId="14" xfId="0" applyFont="1" applyBorder="1"/>
    <xf numFmtId="0" fontId="16" fillId="0" borderId="14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49" fontId="23" fillId="0" borderId="21" xfId="0" applyNumberFormat="1" applyFont="1" applyBorder="1"/>
    <xf numFmtId="49" fontId="8" fillId="0" borderId="0" xfId="0" applyNumberFormat="1" applyFont="1"/>
    <xf numFmtId="0" fontId="11" fillId="10" borderId="3" xfId="0" applyFont="1" applyFill="1" applyBorder="1" applyAlignment="1">
      <alignment horizontal="left"/>
    </xf>
    <xf numFmtId="167" fontId="8" fillId="3" borderId="14" xfId="0" applyNumberFormat="1" applyFont="1" applyFill="1" applyBorder="1"/>
    <xf numFmtId="0" fontId="8" fillId="0" borderId="14" xfId="0" applyFont="1" applyFill="1" applyBorder="1"/>
    <xf numFmtId="2" fontId="8" fillId="3" borderId="8" xfId="0" applyNumberFormat="1" applyFont="1" applyFill="1" applyBorder="1"/>
    <xf numFmtId="0" fontId="17" fillId="10" borderId="10" xfId="0" applyFont="1" applyFill="1" applyBorder="1" applyAlignment="1">
      <alignment vertical="center" wrapText="1"/>
    </xf>
    <xf numFmtId="166" fontId="8" fillId="3" borderId="14" xfId="0" applyNumberFormat="1" applyFont="1" applyFill="1" applyBorder="1"/>
    <xf numFmtId="0" fontId="7" fillId="4" borderId="14" xfId="0" applyFont="1" applyFill="1" applyBorder="1" applyAlignment="1">
      <alignment horizontal="center"/>
    </xf>
    <xf numFmtId="2" fontId="8" fillId="3" borderId="14" xfId="0" applyNumberFormat="1" applyFont="1" applyFill="1" applyBorder="1"/>
    <xf numFmtId="0" fontId="17" fillId="10" borderId="14" xfId="0" applyFont="1" applyFill="1" applyBorder="1" applyAlignment="1">
      <alignment vertical="center" wrapText="1"/>
    </xf>
    <xf numFmtId="173" fontId="8" fillId="0" borderId="0" xfId="0" applyNumberFormat="1" applyFont="1"/>
    <xf numFmtId="2" fontId="11" fillId="3" borderId="14" xfId="0" applyNumberFormat="1" applyFont="1" applyFill="1" applyBorder="1"/>
    <xf numFmtId="0" fontId="17" fillId="10" borderId="12" xfId="0" applyFont="1" applyFill="1" applyBorder="1" applyAlignment="1">
      <alignment vertical="center" wrapText="1"/>
    </xf>
    <xf numFmtId="164" fontId="17" fillId="0" borderId="0" xfId="23" applyFont="1" applyBorder="1" applyAlignment="1">
      <alignment vertical="center" wrapText="1"/>
    </xf>
    <xf numFmtId="164" fontId="8" fillId="9" borderId="21" xfId="23" applyFont="1" applyFill="1" applyBorder="1"/>
    <xf numFmtId="0" fontId="12" fillId="0" borderId="0" xfId="0" applyFont="1" applyFill="1" applyBorder="1" applyAlignment="1">
      <alignment horizontal="right" vertical="center"/>
    </xf>
    <xf numFmtId="2" fontId="11" fillId="0" borderId="0" xfId="0" applyNumberFormat="1" applyFont="1" applyFill="1" applyBorder="1"/>
    <xf numFmtId="0" fontId="17" fillId="0" borderId="0" xfId="0" applyFont="1" applyFill="1" applyBorder="1" applyAlignment="1">
      <alignment vertical="center" wrapText="1"/>
    </xf>
    <xf numFmtId="0" fontId="17" fillId="10" borderId="0" xfId="0" applyFont="1" applyFill="1" applyBorder="1" applyAlignment="1">
      <alignment vertical="center" wrapText="1"/>
    </xf>
    <xf numFmtId="0" fontId="8" fillId="0" borderId="0" xfId="0" applyFont="1" applyFill="1" applyBorder="1"/>
    <xf numFmtId="0" fontId="8" fillId="11" borderId="0" xfId="0" applyFont="1" applyFill="1" applyBorder="1"/>
    <xf numFmtId="49" fontId="17" fillId="0" borderId="0" xfId="23" applyNumberFormat="1" applyFont="1" applyFill="1" applyBorder="1" applyAlignment="1">
      <alignment vertical="center" wrapText="1"/>
    </xf>
    <xf numFmtId="164" fontId="8" fillId="0" borderId="0" xfId="23" applyFont="1" applyFill="1" applyBorder="1"/>
    <xf numFmtId="0" fontId="17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right"/>
    </xf>
    <xf numFmtId="0" fontId="17" fillId="0" borderId="11" xfId="0" applyFont="1" applyFill="1" applyBorder="1" applyAlignment="1">
      <alignment horizontal="center" vertical="center" wrapText="1"/>
    </xf>
    <xf numFmtId="164" fontId="8" fillId="0" borderId="0" xfId="0" applyNumberFormat="1" applyFont="1" applyFill="1"/>
    <xf numFmtId="0" fontId="18" fillId="2" borderId="14" xfId="0" applyFont="1" applyFill="1" applyBorder="1" applyAlignment="1">
      <alignment horizontal="center" vertical="center" wrapText="1"/>
    </xf>
    <xf numFmtId="0" fontId="19" fillId="11" borderId="0" xfId="0" applyFont="1" applyFill="1"/>
    <xf numFmtId="0" fontId="19" fillId="0" borderId="0" xfId="0" applyFont="1" applyFill="1"/>
    <xf numFmtId="173" fontId="19" fillId="0" borderId="0" xfId="0" applyNumberFormat="1" applyFont="1"/>
    <xf numFmtId="164" fontId="19" fillId="0" borderId="0" xfId="0" applyNumberFormat="1" applyFont="1"/>
    <xf numFmtId="0" fontId="8" fillId="12" borderId="0" xfId="0" applyFont="1" applyFill="1"/>
    <xf numFmtId="169" fontId="8" fillId="3" borderId="14" xfId="0" applyNumberFormat="1" applyFont="1" applyFill="1" applyBorder="1"/>
    <xf numFmtId="0" fontId="8" fillId="10" borderId="8" xfId="0" applyFont="1" applyFill="1" applyBorder="1" applyAlignment="1">
      <alignment horizontal="center" vertical="center" wrapText="1"/>
    </xf>
    <xf numFmtId="0" fontId="2" fillId="0" borderId="14" xfId="0" applyFont="1" applyBorder="1" applyAlignment="1">
      <alignment horizontal="right" vertical="center" wrapText="1"/>
    </xf>
    <xf numFmtId="0" fontId="2" fillId="0" borderId="14" xfId="0" applyFont="1" applyBorder="1" applyAlignment="1">
      <alignment horizontal="right" wrapText="1"/>
    </xf>
    <xf numFmtId="0" fontId="8" fillId="10" borderId="1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right" vertical="center" wrapText="1"/>
    </xf>
    <xf numFmtId="0" fontId="7" fillId="0" borderId="14" xfId="0" applyFont="1" applyFill="1" applyBorder="1"/>
    <xf numFmtId="169" fontId="8" fillId="0" borderId="14" xfId="0" applyNumberFormat="1" applyFont="1" applyFill="1" applyBorder="1"/>
    <xf numFmtId="167" fontId="8" fillId="0" borderId="14" xfId="0" applyNumberFormat="1" applyFont="1" applyFill="1" applyBorder="1"/>
    <xf numFmtId="0" fontId="8" fillId="10" borderId="19" xfId="0" applyFont="1" applyFill="1" applyBorder="1" applyAlignment="1">
      <alignment horizontal="center" vertical="center" wrapText="1"/>
    </xf>
    <xf numFmtId="166" fontId="8" fillId="11" borderId="0" xfId="0" applyNumberFormat="1" applyFont="1" applyFill="1"/>
    <xf numFmtId="0" fontId="8" fillId="13" borderId="21" xfId="0" applyFont="1" applyFill="1" applyBorder="1"/>
    <xf numFmtId="0" fontId="8" fillId="12" borderId="21" xfId="0" applyFont="1" applyFill="1" applyBorder="1"/>
    <xf numFmtId="2" fontId="11" fillId="0" borderId="14" xfId="0" applyNumberFormat="1" applyFont="1" applyFill="1" applyBorder="1"/>
    <xf numFmtId="0" fontId="8" fillId="0" borderId="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right" vertical="center" wrapText="1"/>
    </xf>
    <xf numFmtId="166" fontId="12" fillId="0" borderId="3" xfId="0" applyNumberFormat="1" applyFont="1" applyFill="1" applyBorder="1" applyAlignment="1">
      <alignment horizontal="right" vertical="center" wrapText="1"/>
    </xf>
    <xf numFmtId="0" fontId="12" fillId="0" borderId="4" xfId="0" applyFont="1" applyFill="1" applyBorder="1" applyAlignment="1">
      <alignment horizontal="right" vertical="center" wrapText="1"/>
    </xf>
    <xf numFmtId="0" fontId="12" fillId="0" borderId="2" xfId="0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21" xfId="0" applyFont="1" applyFill="1" applyBorder="1"/>
    <xf numFmtId="168" fontId="8" fillId="3" borderId="14" xfId="0" applyNumberFormat="1" applyFont="1" applyFill="1" applyBorder="1"/>
    <xf numFmtId="0" fontId="11" fillId="10" borderId="8" xfId="0" applyFont="1" applyFill="1" applyBorder="1" applyAlignment="1">
      <alignment horizontal="left"/>
    </xf>
    <xf numFmtId="0" fontId="8" fillId="3" borderId="13" xfId="0" applyFont="1" applyFill="1" applyBorder="1" applyAlignment="1">
      <alignment horizontal="justify" vertical="top" wrapText="1"/>
    </xf>
    <xf numFmtId="0" fontId="1" fillId="4" borderId="14" xfId="0" applyFont="1" applyFill="1" applyBorder="1"/>
    <xf numFmtId="0" fontId="8" fillId="3" borderId="22" xfId="0" applyFont="1" applyFill="1" applyBorder="1" applyAlignment="1">
      <alignment horizontal="justify" vertical="top" wrapText="1"/>
    </xf>
    <xf numFmtId="0" fontId="8" fillId="0" borderId="22" xfId="0" applyFont="1" applyBorder="1" applyAlignment="1">
      <alignment horizontal="justify" vertical="top" wrapText="1"/>
    </xf>
    <xf numFmtId="0" fontId="8" fillId="10" borderId="5" xfId="0" applyFont="1" applyFill="1" applyBorder="1"/>
    <xf numFmtId="164" fontId="30" fillId="9" borderId="21" xfId="23" applyFont="1" applyFill="1" applyBorder="1"/>
    <xf numFmtId="0" fontId="10" fillId="10" borderId="14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166" fontId="10" fillId="5" borderId="14" xfId="0" applyNumberFormat="1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166" fontId="7" fillId="5" borderId="14" xfId="0" applyNumberFormat="1" applyFont="1" applyFill="1" applyBorder="1" applyAlignment="1">
      <alignment horizontal="center" vertical="center" wrapText="1"/>
    </xf>
    <xf numFmtId="0" fontId="12" fillId="10" borderId="3" xfId="0" applyFont="1" applyFill="1" applyBorder="1" applyAlignment="1">
      <alignment horizontal="left" wrapText="1"/>
    </xf>
    <xf numFmtId="0" fontId="7" fillId="10" borderId="14" xfId="0" applyFont="1" applyFill="1" applyBorder="1"/>
    <xf numFmtId="0" fontId="7" fillId="3" borderId="14" xfId="0" applyFont="1" applyFill="1" applyBorder="1"/>
    <xf numFmtId="0" fontId="2" fillId="3" borderId="14" xfId="0" applyFont="1" applyFill="1" applyBorder="1" applyAlignment="1">
      <alignment vertical="center" wrapText="1"/>
    </xf>
    <xf numFmtId="167" fontId="2" fillId="3" borderId="14" xfId="0" applyNumberFormat="1" applyFont="1" applyFill="1" applyBorder="1" applyAlignment="1">
      <alignment horizontal="center" wrapText="1"/>
    </xf>
    <xf numFmtId="0" fontId="1" fillId="0" borderId="14" xfId="0" applyFont="1" applyFill="1" applyBorder="1"/>
    <xf numFmtId="165" fontId="7" fillId="0" borderId="14" xfId="0" applyNumberFormat="1" applyFont="1" applyFill="1" applyBorder="1"/>
    <xf numFmtId="166" fontId="22" fillId="3" borderId="14" xfId="0" applyNumberFormat="1" applyFont="1" applyFill="1" applyBorder="1"/>
    <xf numFmtId="0" fontId="2" fillId="0" borderId="14" xfId="0" applyFont="1" applyFill="1" applyBorder="1" applyAlignment="1">
      <alignment wrapText="1"/>
    </xf>
    <xf numFmtId="167" fontId="7" fillId="3" borderId="14" xfId="0" applyNumberFormat="1" applyFont="1" applyFill="1" applyBorder="1"/>
    <xf numFmtId="0" fontId="7" fillId="10" borderId="2" xfId="0" applyFont="1" applyFill="1" applyBorder="1"/>
    <xf numFmtId="2" fontId="12" fillId="3" borderId="14" xfId="0" applyNumberFormat="1" applyFont="1" applyFill="1" applyBorder="1" applyAlignment="1"/>
    <xf numFmtId="164" fontId="12" fillId="3" borderId="2" xfId="23" applyFont="1" applyFill="1" applyBorder="1" applyAlignment="1"/>
    <xf numFmtId="164" fontId="8" fillId="10" borderId="21" xfId="23" applyFont="1" applyFill="1" applyBorder="1"/>
    <xf numFmtId="164" fontId="8" fillId="14" borderId="21" xfId="0" applyNumberFormat="1" applyFont="1" applyFill="1" applyBorder="1"/>
    <xf numFmtId="0" fontId="7" fillId="3" borderId="14" xfId="0" applyFont="1" applyFill="1" applyBorder="1" applyAlignment="1">
      <alignment wrapText="1"/>
    </xf>
    <xf numFmtId="0" fontId="7" fillId="3" borderId="14" xfId="0" applyFont="1" applyFill="1" applyBorder="1" applyAlignment="1">
      <alignment horizontal="left" wrapText="1"/>
    </xf>
    <xf numFmtId="0" fontId="2" fillId="3" borderId="14" xfId="0" applyFont="1" applyFill="1" applyBorder="1" applyAlignment="1">
      <alignment horizontal="center" wrapText="1"/>
    </xf>
    <xf numFmtId="166" fontId="7" fillId="3" borderId="14" xfId="0" applyNumberFormat="1" applyFont="1" applyFill="1" applyBorder="1"/>
    <xf numFmtId="164" fontId="8" fillId="9" borderId="14" xfId="23" applyFont="1" applyFill="1" applyBorder="1"/>
    <xf numFmtId="164" fontId="8" fillId="13" borderId="14" xfId="0" applyNumberFormat="1" applyFont="1" applyFill="1" applyBorder="1"/>
    <xf numFmtId="0" fontId="8" fillId="9" borderId="14" xfId="0" applyFont="1" applyFill="1" applyBorder="1"/>
    <xf numFmtId="0" fontId="7" fillId="0" borderId="14" xfId="0" applyFont="1" applyFill="1" applyBorder="1" applyAlignment="1"/>
    <xf numFmtId="2" fontId="12" fillId="3" borderId="14" xfId="0" applyNumberFormat="1" applyFont="1" applyFill="1" applyBorder="1"/>
    <xf numFmtId="2" fontId="11" fillId="0" borderId="2" xfId="0" applyNumberFormat="1" applyFont="1" applyBorder="1"/>
    <xf numFmtId="0" fontId="2" fillId="0" borderId="14" xfId="0" applyFont="1" applyBorder="1" applyAlignment="1">
      <alignment horizontal="center" vertical="center" wrapText="1"/>
    </xf>
    <xf numFmtId="0" fontId="2" fillId="4" borderId="14" xfId="0" applyFont="1" applyFill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5" fillId="10" borderId="3" xfId="0" applyFont="1" applyFill="1" applyBorder="1" applyAlignment="1">
      <alignment horizontal="left" wrapText="1"/>
    </xf>
    <xf numFmtId="0" fontId="22" fillId="11" borderId="0" xfId="0" applyFont="1" applyFill="1"/>
    <xf numFmtId="164" fontId="22" fillId="0" borderId="0" xfId="23" applyFont="1"/>
    <xf numFmtId="0" fontId="2" fillId="0" borderId="14" xfId="0" applyFont="1" applyFill="1" applyBorder="1" applyAlignment="1">
      <alignment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12" borderId="14" xfId="0" applyFont="1" applyFill="1" applyBorder="1" applyAlignment="1">
      <alignment vertical="center" wrapText="1"/>
    </xf>
    <xf numFmtId="0" fontId="11" fillId="0" borderId="2" xfId="0" applyFont="1" applyBorder="1"/>
    <xf numFmtId="2" fontId="22" fillId="0" borderId="0" xfId="0" applyNumberFormat="1" applyFont="1"/>
    <xf numFmtId="2" fontId="11" fillId="9" borderId="21" xfId="0" applyNumberFormat="1" applyFont="1" applyFill="1" applyBorder="1"/>
    <xf numFmtId="0" fontId="12" fillId="10" borderId="5" xfId="0" applyFont="1" applyFill="1" applyBorder="1" applyAlignment="1">
      <alignment horizontal="left" wrapText="1"/>
    </xf>
    <xf numFmtId="0" fontId="31" fillId="0" borderId="23" xfId="1" applyFont="1" applyFill="1" applyBorder="1" applyAlignment="1" applyProtection="1">
      <alignment horizontal="center" vertical="center" wrapText="1"/>
      <protection locked="0"/>
    </xf>
    <xf numFmtId="165" fontId="7" fillId="0" borderId="23" xfId="0" applyNumberFormat="1" applyFont="1" applyFill="1" applyBorder="1"/>
    <xf numFmtId="166" fontId="7" fillId="3" borderId="23" xfId="0" applyNumberFormat="1" applyFont="1" applyFill="1" applyBorder="1"/>
    <xf numFmtId="2" fontId="7" fillId="0" borderId="23" xfId="0" applyNumberFormat="1" applyFont="1" applyFill="1" applyBorder="1"/>
    <xf numFmtId="0" fontId="7" fillId="0" borderId="23" xfId="0" applyFont="1" applyFill="1" applyBorder="1" applyAlignment="1">
      <alignment horizontal="center"/>
    </xf>
    <xf numFmtId="2" fontId="7" fillId="3" borderId="23" xfId="0" applyNumberFormat="1" applyFont="1" applyFill="1" applyBorder="1"/>
    <xf numFmtId="0" fontId="7" fillId="0" borderId="23" xfId="0" applyFont="1" applyFill="1" applyBorder="1"/>
    <xf numFmtId="0" fontId="7" fillId="10" borderId="23" xfId="0" applyFont="1" applyFill="1" applyBorder="1"/>
    <xf numFmtId="0" fontId="6" fillId="3" borderId="24" xfId="1" applyFont="1" applyFill="1" applyBorder="1" applyAlignment="1" applyProtection="1">
      <alignment horizontal="left" vertical="center" wrapText="1"/>
      <protection locked="0"/>
    </xf>
    <xf numFmtId="2" fontId="7" fillId="0" borderId="14" xfId="0" applyNumberFormat="1" applyFont="1" applyFill="1" applyBorder="1"/>
    <xf numFmtId="0" fontId="7" fillId="0" borderId="14" xfId="0" applyFont="1" applyFill="1" applyBorder="1" applyAlignment="1">
      <alignment wrapText="1"/>
    </xf>
    <xf numFmtId="2" fontId="2" fillId="3" borderId="14" xfId="0" applyNumberFormat="1" applyFont="1" applyFill="1" applyBorder="1" applyAlignment="1">
      <alignment horizontal="center" vertical="center" wrapText="1"/>
    </xf>
    <xf numFmtId="164" fontId="32" fillId="0" borderId="14" xfId="23" applyFont="1" applyFill="1" applyBorder="1"/>
    <xf numFmtId="2" fontId="8" fillId="0" borderId="0" xfId="0" applyNumberFormat="1" applyFont="1" applyFill="1"/>
    <xf numFmtId="0" fontId="7" fillId="0" borderId="23" xfId="0" applyFont="1" applyBorder="1" applyAlignment="1">
      <alignment horizontal="center"/>
    </xf>
    <xf numFmtId="0" fontId="7" fillId="0" borderId="23" xfId="0" applyFont="1" applyBorder="1"/>
    <xf numFmtId="0" fontId="7" fillId="10" borderId="8" xfId="0" applyFont="1" applyFill="1" applyBorder="1"/>
    <xf numFmtId="0" fontId="6" fillId="3" borderId="25" xfId="1" applyFont="1" applyFill="1" applyBorder="1" applyAlignment="1" applyProtection="1">
      <alignment horizontal="left" vertical="center" wrapText="1"/>
      <protection locked="0"/>
    </xf>
    <xf numFmtId="0" fontId="13" fillId="3" borderId="25" xfId="1" applyFont="1" applyFill="1" applyBorder="1" applyAlignment="1" applyProtection="1">
      <alignment horizontal="left" vertical="center" wrapText="1"/>
      <protection locked="0"/>
    </xf>
    <xf numFmtId="2" fontId="8" fillId="10" borderId="0" xfId="0" applyNumberFormat="1" applyFont="1" applyFill="1"/>
    <xf numFmtId="0" fontId="13" fillId="6" borderId="14" xfId="1" applyFont="1" applyFill="1" applyBorder="1" applyAlignment="1" applyProtection="1">
      <alignment horizontal="left" vertical="center" wrapText="1"/>
      <protection locked="0"/>
    </xf>
    <xf numFmtId="0" fontId="7" fillId="12" borderId="14" xfId="0" applyFont="1" applyFill="1" applyBorder="1"/>
    <xf numFmtId="164" fontId="12" fillId="3" borderId="2" xfId="23" applyFont="1" applyFill="1" applyBorder="1"/>
    <xf numFmtId="164" fontId="32" fillId="0" borderId="14" xfId="0" applyNumberFormat="1" applyFont="1" applyBorder="1"/>
    <xf numFmtId="164" fontId="32" fillId="0" borderId="2" xfId="0" applyNumberFormat="1" applyFont="1" applyBorder="1"/>
    <xf numFmtId="164" fontId="32" fillId="9" borderId="21" xfId="0" applyNumberFormat="1" applyFont="1" applyFill="1" applyBorder="1"/>
    <xf numFmtId="49" fontId="23" fillId="0" borderId="26" xfId="0" applyNumberFormat="1" applyFont="1" applyBorder="1"/>
    <xf numFmtId="164" fontId="8" fillId="0" borderId="21" xfId="0" applyNumberFormat="1" applyFont="1" applyBorder="1"/>
    <xf numFmtId="164" fontId="22" fillId="0" borderId="23" xfId="0" applyNumberFormat="1" applyFont="1" applyBorder="1"/>
    <xf numFmtId="0" fontId="22" fillId="0" borderId="23" xfId="0" applyFont="1" applyBorder="1"/>
    <xf numFmtId="2" fontId="22" fillId="0" borderId="2" xfId="0" applyNumberFormat="1" applyFont="1" applyBorder="1"/>
    <xf numFmtId="164" fontId="22" fillId="9" borderId="27" xfId="0" applyNumberFormat="1" applyFont="1" applyFill="1" applyBorder="1"/>
    <xf numFmtId="49" fontId="33" fillId="0" borderId="26" xfId="0" applyNumberFormat="1" applyFont="1" applyBorder="1"/>
    <xf numFmtId="164" fontId="22" fillId="0" borderId="21" xfId="0" applyNumberFormat="1" applyFont="1" applyBorder="1"/>
    <xf numFmtId="0" fontId="8" fillId="0" borderId="23" xfId="0" applyFont="1" applyFill="1" applyBorder="1" applyAlignment="1">
      <alignment horizontal="center" wrapText="1"/>
    </xf>
    <xf numFmtId="0" fontId="5" fillId="0" borderId="23" xfId="0" applyFont="1" applyFill="1" applyBorder="1" applyAlignment="1">
      <alignment wrapText="1"/>
    </xf>
    <xf numFmtId="0" fontId="8" fillId="3" borderId="23" xfId="0" applyFont="1" applyFill="1" applyBorder="1" applyAlignment="1">
      <alignment wrapText="1"/>
    </xf>
    <xf numFmtId="0" fontId="7" fillId="3" borderId="23" xfId="0" applyFont="1" applyFill="1" applyBorder="1" applyAlignment="1">
      <alignment horizontal="center"/>
    </xf>
    <xf numFmtId="0" fontId="1" fillId="0" borderId="23" xfId="0" applyFont="1" applyFill="1" applyBorder="1"/>
    <xf numFmtId="0" fontId="5" fillId="3" borderId="23" xfId="0" applyFont="1" applyFill="1" applyBorder="1" applyAlignment="1">
      <alignment wrapText="1"/>
    </xf>
    <xf numFmtId="164" fontId="8" fillId="9" borderId="0" xfId="23" applyFont="1" applyFill="1"/>
    <xf numFmtId="0" fontId="8" fillId="9" borderId="0" xfId="0" applyFont="1" applyFill="1"/>
    <xf numFmtId="164" fontId="8" fillId="13" borderId="23" xfId="0" applyNumberFormat="1" applyFont="1" applyFill="1" applyBorder="1"/>
    <xf numFmtId="164" fontId="8" fillId="12" borderId="0" xfId="23" applyFont="1" applyFill="1"/>
    <xf numFmtId="164" fontId="8" fillId="0" borderId="23" xfId="0" applyNumberFormat="1" applyFont="1" applyFill="1" applyBorder="1"/>
    <xf numFmtId="0" fontId="8" fillId="0" borderId="23" xfId="0" applyFont="1" applyFill="1" applyBorder="1" applyAlignment="1">
      <alignment wrapText="1"/>
    </xf>
    <xf numFmtId="0" fontId="5" fillId="3" borderId="23" xfId="0" applyFont="1" applyFill="1" applyBorder="1" applyAlignment="1">
      <alignment horizontal="center" wrapText="1"/>
    </xf>
    <xf numFmtId="167" fontId="7" fillId="3" borderId="23" xfId="0" applyNumberFormat="1" applyFont="1" applyFill="1" applyBorder="1"/>
    <xf numFmtId="0" fontId="8" fillId="0" borderId="23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vertical="center" wrapText="1"/>
    </xf>
    <xf numFmtId="0" fontId="34" fillId="0" borderId="23" xfId="0" applyFont="1" applyBorder="1"/>
    <xf numFmtId="0" fontId="34" fillId="10" borderId="23" xfId="0" applyFont="1" applyFill="1" applyBorder="1"/>
    <xf numFmtId="0" fontId="35" fillId="0" borderId="0" xfId="0" applyFont="1"/>
    <xf numFmtId="0" fontId="35" fillId="11" borderId="0" xfId="0" applyFont="1" applyFill="1"/>
    <xf numFmtId="0" fontId="35" fillId="0" borderId="0" xfId="0" applyFont="1" applyFill="1"/>
    <xf numFmtId="166" fontId="22" fillId="3" borderId="23" xfId="0" applyNumberFormat="1" applyFont="1" applyFill="1" applyBorder="1"/>
    <xf numFmtId="2" fontId="12" fillId="3" borderId="23" xfId="0" applyNumberFormat="1" applyFont="1" applyFill="1" applyBorder="1"/>
    <xf numFmtId="2" fontId="11" fillId="3" borderId="23" xfId="0" applyNumberFormat="1" applyFont="1" applyFill="1" applyBorder="1"/>
    <xf numFmtId="164" fontId="8" fillId="0" borderId="23" xfId="23" applyFont="1" applyBorder="1"/>
    <xf numFmtId="0" fontId="8" fillId="0" borderId="23" xfId="0" applyFont="1" applyBorder="1"/>
    <xf numFmtId="0" fontId="8" fillId="2" borderId="23" xfId="0" applyFont="1" applyFill="1" applyBorder="1"/>
    <xf numFmtId="164" fontId="8" fillId="2" borderId="23" xfId="23" applyFont="1" applyFill="1" applyBorder="1"/>
    <xf numFmtId="2" fontId="8" fillId="0" borderId="23" xfId="0" applyNumberFormat="1" applyFont="1" applyBorder="1"/>
    <xf numFmtId="164" fontId="8" fillId="2" borderId="4" xfId="23" applyFont="1" applyFill="1" applyBorder="1"/>
    <xf numFmtId="164" fontId="8" fillId="2" borderId="0" xfId="23" applyFont="1" applyFill="1" applyBorder="1"/>
    <xf numFmtId="164" fontId="8" fillId="2" borderId="0" xfId="23" applyFont="1" applyFill="1"/>
    <xf numFmtId="164" fontId="8" fillId="0" borderId="23" xfId="23" applyFont="1" applyBorder="1" applyAlignment="1">
      <alignment horizontal="right"/>
    </xf>
    <xf numFmtId="0" fontId="7" fillId="0" borderId="23" xfId="0" applyFont="1" applyFill="1" applyBorder="1" applyAlignment="1"/>
    <xf numFmtId="0" fontId="7" fillId="3" borderId="23" xfId="0" applyFont="1" applyFill="1" applyBorder="1" applyAlignment="1">
      <alignment wrapText="1"/>
    </xf>
    <xf numFmtId="0" fontId="7" fillId="3" borderId="23" xfId="0" applyFont="1" applyFill="1" applyBorder="1" applyAlignment="1">
      <alignment horizontal="left" wrapText="1"/>
    </xf>
    <xf numFmtId="0" fontId="2" fillId="3" borderId="23" xfId="0" applyFont="1" applyFill="1" applyBorder="1" applyAlignment="1">
      <alignment horizontal="center" wrapText="1"/>
    </xf>
    <xf numFmtId="0" fontId="7" fillId="0" borderId="23" xfId="0" applyFont="1" applyBorder="1" applyAlignment="1">
      <alignment wrapText="1"/>
    </xf>
    <xf numFmtId="0" fontId="25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17" fillId="10" borderId="11" xfId="0" applyFont="1" applyFill="1" applyBorder="1" applyAlignment="1">
      <alignment vertical="center" wrapText="1"/>
    </xf>
    <xf numFmtId="0" fontId="17" fillId="10" borderId="4" xfId="0" applyFont="1" applyFill="1" applyBorder="1" applyAlignment="1">
      <alignment vertical="center" wrapText="1"/>
    </xf>
    <xf numFmtId="0" fontId="17" fillId="10" borderId="5" xfId="0" applyFont="1" applyFill="1" applyBorder="1" applyAlignment="1">
      <alignment vertical="center" wrapText="1"/>
    </xf>
    <xf numFmtId="0" fontId="16" fillId="10" borderId="4" xfId="0" applyFont="1" applyFill="1" applyBorder="1" applyAlignment="1">
      <alignment horizontal="center" vertical="center" wrapText="1"/>
    </xf>
    <xf numFmtId="0" fontId="8" fillId="10" borderId="6" xfId="0" applyFont="1" applyFill="1" applyBorder="1" applyAlignment="1">
      <alignment horizontal="center" vertical="center" wrapText="1"/>
    </xf>
    <xf numFmtId="0" fontId="8" fillId="10" borderId="11" xfId="0" applyFont="1" applyFill="1" applyBorder="1" applyAlignment="1">
      <alignment horizontal="center" vertical="center" wrapText="1"/>
    </xf>
    <xf numFmtId="0" fontId="8" fillId="10" borderId="20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11" fillId="10" borderId="6" xfId="0" applyFont="1" applyFill="1" applyBorder="1" applyAlignment="1">
      <alignment horizontal="left"/>
    </xf>
    <xf numFmtId="0" fontId="10" fillId="10" borderId="4" xfId="0" applyFont="1" applyFill="1" applyBorder="1" applyAlignment="1">
      <alignment horizontal="center" vertical="center" wrapText="1"/>
    </xf>
    <xf numFmtId="0" fontId="7" fillId="10" borderId="4" xfId="0" applyFont="1" applyFill="1" applyBorder="1"/>
    <xf numFmtId="0" fontId="7" fillId="10" borderId="3" xfId="0" applyFont="1" applyFill="1" applyBorder="1"/>
    <xf numFmtId="0" fontId="7" fillId="10" borderId="6" xfId="0" applyFont="1" applyFill="1" applyBorder="1"/>
    <xf numFmtId="0" fontId="34" fillId="10" borderId="4" xfId="0" applyFont="1" applyFill="1" applyBorder="1"/>
    <xf numFmtId="167" fontId="8" fillId="3" borderId="23" xfId="0" applyNumberFormat="1" applyFont="1" applyFill="1" applyBorder="1"/>
    <xf numFmtId="0" fontId="8" fillId="0" borderId="23" xfId="0" applyFont="1" applyFill="1" applyBorder="1"/>
    <xf numFmtId="2" fontId="8" fillId="3" borderId="23" xfId="0" applyNumberFormat="1" applyFont="1" applyFill="1" applyBorder="1"/>
    <xf numFmtId="0" fontId="17" fillId="0" borderId="23" xfId="0" applyFont="1" applyBorder="1" applyAlignment="1">
      <alignment vertical="center" wrapText="1"/>
    </xf>
    <xf numFmtId="0" fontId="12" fillId="0" borderId="23" xfId="0" applyFont="1" applyFill="1" applyBorder="1" applyAlignment="1">
      <alignment horizontal="right" vertical="center"/>
    </xf>
    <xf numFmtId="2" fontId="11" fillId="0" borderId="23" xfId="0" applyNumberFormat="1" applyFont="1" applyFill="1" applyBorder="1"/>
    <xf numFmtId="0" fontId="17" fillId="0" borderId="23" xfId="0" applyFont="1" applyFill="1" applyBorder="1" applyAlignment="1">
      <alignment vertical="center" wrapText="1"/>
    </xf>
    <xf numFmtId="0" fontId="12" fillId="0" borderId="23" xfId="0" applyFont="1" applyFill="1" applyBorder="1" applyAlignment="1">
      <alignment horizontal="right"/>
    </xf>
    <xf numFmtId="0" fontId="17" fillId="0" borderId="23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18" fillId="2" borderId="23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169" fontId="8" fillId="3" borderId="23" xfId="0" applyNumberFormat="1" applyFont="1" applyFill="1" applyBorder="1"/>
    <xf numFmtId="0" fontId="8" fillId="0" borderId="23" xfId="0" applyFont="1" applyFill="1" applyBorder="1" applyAlignment="1">
      <alignment horizontal="center" wrapText="1"/>
    </xf>
    <xf numFmtId="0" fontId="11" fillId="0" borderId="23" xfId="0" applyFont="1" applyFill="1" applyBorder="1" applyAlignment="1">
      <alignment horizontal="right" vertical="center" wrapText="1"/>
    </xf>
    <xf numFmtId="0" fontId="8" fillId="0" borderId="23" xfId="0" applyFont="1" applyFill="1" applyBorder="1" applyAlignment="1">
      <alignment horizontal="justify" vertical="center" wrapText="1"/>
    </xf>
    <xf numFmtId="168" fontId="8" fillId="3" borderId="23" xfId="0" applyNumberFormat="1" applyFont="1" applyFill="1" applyBorder="1"/>
    <xf numFmtId="0" fontId="11" fillId="0" borderId="23" xfId="0" applyFont="1" applyBorder="1" applyAlignment="1">
      <alignment horizontal="left"/>
    </xf>
    <xf numFmtId="0" fontId="8" fillId="0" borderId="23" xfId="0" applyFont="1" applyFill="1" applyBorder="1" applyAlignment="1">
      <alignment horizontal="justify" vertical="top" wrapText="1"/>
    </xf>
    <xf numFmtId="0" fontId="8" fillId="0" borderId="23" xfId="0" applyFont="1" applyBorder="1" applyAlignment="1">
      <alignment horizontal="justify" vertical="top" wrapText="1"/>
    </xf>
    <xf numFmtId="0" fontId="8" fillId="3" borderId="23" xfId="0" applyFont="1" applyFill="1" applyBorder="1"/>
    <xf numFmtId="0" fontId="28" fillId="2" borderId="23" xfId="0" applyFont="1" applyFill="1" applyBorder="1"/>
    <xf numFmtId="0" fontId="23" fillId="5" borderId="23" xfId="0" applyFont="1" applyFill="1" applyBorder="1" applyAlignment="1">
      <alignment horizontal="center" vertical="center" wrapText="1"/>
    </xf>
    <xf numFmtId="0" fontId="23" fillId="2" borderId="23" xfId="0" applyFont="1" applyFill="1" applyBorder="1" applyAlignment="1">
      <alignment horizontal="center" vertical="center" wrapText="1"/>
    </xf>
    <xf numFmtId="0" fontId="8" fillId="5" borderId="23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/>
    </xf>
    <xf numFmtId="165" fontId="8" fillId="0" borderId="23" xfId="0" applyNumberFormat="1" applyFont="1" applyFill="1" applyBorder="1"/>
    <xf numFmtId="0" fontId="8" fillId="0" borderId="23" xfId="0" applyFont="1" applyBorder="1" applyAlignment="1">
      <alignment horizontal="center"/>
    </xf>
    <xf numFmtId="2" fontId="11" fillId="3" borderId="23" xfId="0" applyNumberFormat="1" applyFont="1" applyFill="1" applyBorder="1" applyAlignment="1"/>
    <xf numFmtId="166" fontId="8" fillId="3" borderId="23" xfId="0" applyNumberFormat="1" applyFont="1" applyFill="1" applyBorder="1"/>
    <xf numFmtId="0" fontId="2" fillId="0" borderId="23" xfId="0" applyFont="1" applyFill="1" applyBorder="1" applyAlignment="1">
      <alignment wrapText="1"/>
    </xf>
    <xf numFmtId="0" fontId="2" fillId="0" borderId="23" xfId="0" applyFont="1" applyBorder="1" applyAlignment="1">
      <alignment horizontal="center" vertical="center" wrapText="1"/>
    </xf>
    <xf numFmtId="165" fontId="7" fillId="2" borderId="23" xfId="0" applyNumberFormat="1" applyFont="1" applyFill="1" applyBorder="1"/>
    <xf numFmtId="166" fontId="7" fillId="0" borderId="23" xfId="0" applyNumberFormat="1" applyFont="1" applyBorder="1"/>
    <xf numFmtId="0" fontId="2" fillId="4" borderId="23" xfId="0" applyFont="1" applyFill="1" applyBorder="1" applyAlignment="1">
      <alignment vertical="center" wrapText="1"/>
    </xf>
    <xf numFmtId="0" fontId="2" fillId="0" borderId="23" xfId="0" applyFont="1" applyBorder="1" applyAlignment="1">
      <alignment vertical="center" wrapText="1"/>
    </xf>
    <xf numFmtId="0" fontId="2" fillId="0" borderId="23" xfId="0" applyFont="1" applyFill="1" applyBorder="1" applyAlignment="1">
      <alignment vertical="center" wrapText="1"/>
    </xf>
    <xf numFmtId="0" fontId="2" fillId="12" borderId="23" xfId="0" applyFont="1" applyFill="1" applyBorder="1" applyAlignment="1">
      <alignment vertical="center" wrapText="1"/>
    </xf>
    <xf numFmtId="166" fontId="7" fillId="0" borderId="23" xfId="0" applyNumberFormat="1" applyFont="1" applyFill="1" applyBorder="1"/>
    <xf numFmtId="0" fontId="12" fillId="0" borderId="23" xfId="0" applyFont="1" applyFill="1" applyBorder="1" applyAlignment="1">
      <alignment horizontal="right" vertical="center"/>
    </xf>
    <xf numFmtId="0" fontId="25" fillId="0" borderId="23" xfId="0" applyFont="1" applyBorder="1" applyAlignment="1">
      <alignment horizontal="left" vertical="center" wrapText="1"/>
    </xf>
    <xf numFmtId="0" fontId="13" fillId="3" borderId="23" xfId="1" applyFont="1" applyFill="1" applyBorder="1" applyAlignment="1" applyProtection="1">
      <alignment horizontal="left" vertical="center" wrapText="1"/>
      <protection locked="0"/>
    </xf>
    <xf numFmtId="2" fontId="2" fillId="3" borderId="23" xfId="0" applyNumberFormat="1" applyFont="1" applyFill="1" applyBorder="1" applyAlignment="1">
      <alignment horizontal="center" vertical="center" wrapText="1"/>
    </xf>
    <xf numFmtId="0" fontId="13" fillId="6" borderId="23" xfId="1" applyFont="1" applyFill="1" applyBorder="1" applyAlignment="1" applyProtection="1">
      <alignment horizontal="left" vertical="center" wrapText="1"/>
      <protection locked="0"/>
    </xf>
    <xf numFmtId="2" fontId="2" fillId="0" borderId="23" xfId="0" applyNumberFormat="1" applyFont="1" applyBorder="1" applyAlignment="1">
      <alignment horizontal="center" vertical="center" wrapText="1"/>
    </xf>
    <xf numFmtId="0" fontId="7" fillId="12" borderId="23" xfId="0" applyFont="1" applyFill="1" applyBorder="1"/>
    <xf numFmtId="43" fontId="8" fillId="0" borderId="0" xfId="0" applyNumberFormat="1" applyFont="1"/>
    <xf numFmtId="167" fontId="7" fillId="0" borderId="0" xfId="0" applyNumberFormat="1" applyFont="1" applyBorder="1"/>
    <xf numFmtId="0" fontId="7" fillId="0" borderId="0" xfId="0" applyFont="1"/>
    <xf numFmtId="0" fontId="8" fillId="0" borderId="0" xfId="0" applyFont="1"/>
    <xf numFmtId="0" fontId="11" fillId="0" borderId="0" xfId="0" applyFont="1" applyBorder="1" applyAlignment="1">
      <alignment horizontal="left"/>
    </xf>
    <xf numFmtId="164" fontId="8" fillId="0" borderId="0" xfId="0" applyNumberFormat="1" applyFont="1"/>
    <xf numFmtId="0" fontId="12" fillId="0" borderId="0" xfId="0" applyFont="1" applyBorder="1" applyAlignment="1">
      <alignment horizontal="left" wrapText="1"/>
    </xf>
    <xf numFmtId="0" fontId="7" fillId="0" borderId="0" xfId="0" applyFont="1" applyBorder="1"/>
    <xf numFmtId="0" fontId="16" fillId="2" borderId="0" xfId="0" applyFont="1" applyFill="1" applyBorder="1" applyAlignment="1">
      <alignment horizontal="center" vertical="center" wrapText="1"/>
    </xf>
    <xf numFmtId="2" fontId="10" fillId="7" borderId="23" xfId="0" applyNumberFormat="1" applyFont="1" applyFill="1" applyBorder="1" applyAlignment="1">
      <alignment horizontal="center"/>
    </xf>
    <xf numFmtId="2" fontId="7" fillId="0" borderId="23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/>
    </xf>
    <xf numFmtId="0" fontId="8" fillId="0" borderId="0" xfId="0" applyFont="1" applyAlignment="1">
      <alignment wrapText="1"/>
    </xf>
    <xf numFmtId="167" fontId="2" fillId="0" borderId="1" xfId="0" applyNumberFormat="1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right"/>
    </xf>
    <xf numFmtId="165" fontId="7" fillId="0" borderId="1" xfId="0" applyNumberFormat="1" applyFont="1" applyFill="1" applyBorder="1" applyAlignment="1">
      <alignment horizontal="right"/>
    </xf>
    <xf numFmtId="166" fontId="7" fillId="0" borderId="1" xfId="0" applyNumberFormat="1" applyFont="1" applyFill="1" applyBorder="1" applyAlignment="1">
      <alignment horizontal="right"/>
    </xf>
    <xf numFmtId="167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right"/>
    </xf>
    <xf numFmtId="2" fontId="11" fillId="0" borderId="34" xfId="0" applyNumberFormat="1" applyFont="1" applyFill="1" applyBorder="1"/>
    <xf numFmtId="0" fontId="18" fillId="2" borderId="9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23" fillId="2" borderId="0" xfId="0" applyFont="1" applyFill="1"/>
    <xf numFmtId="0" fontId="7" fillId="0" borderId="1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right" wrapText="1"/>
    </xf>
    <xf numFmtId="0" fontId="8" fillId="16" borderId="23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/>
    </xf>
    <xf numFmtId="0" fontId="13" fillId="3" borderId="7" xfId="1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>
      <alignment horizontal="right" wrapText="1"/>
    </xf>
    <xf numFmtId="165" fontId="7" fillId="0" borderId="1" xfId="0" applyNumberFormat="1" applyFont="1" applyFill="1" applyBorder="1" applyAlignment="1">
      <alignment horizontal="right" wrapText="1"/>
    </xf>
    <xf numFmtId="166" fontId="7" fillId="0" borderId="1" xfId="0" applyNumberFormat="1" applyFont="1" applyFill="1" applyBorder="1" applyAlignment="1">
      <alignment horizontal="right" wrapText="1"/>
    </xf>
    <xf numFmtId="0" fontId="8" fillId="16" borderId="1" xfId="0" applyFont="1" applyFill="1" applyBorder="1" applyAlignment="1">
      <alignment wrapText="1"/>
    </xf>
    <xf numFmtId="2" fontId="8" fillId="16" borderId="1" xfId="0" applyNumberFormat="1" applyFont="1" applyFill="1" applyBorder="1"/>
    <xf numFmtId="2" fontId="11" fillId="16" borderId="1" xfId="0" applyNumberFormat="1" applyFont="1" applyFill="1" applyBorder="1"/>
    <xf numFmtId="167" fontId="8" fillId="16" borderId="1" xfId="0" applyNumberFormat="1" applyFont="1" applyFill="1" applyBorder="1"/>
    <xf numFmtId="0" fontId="13" fillId="16" borderId="7" xfId="1" applyFont="1" applyFill="1" applyBorder="1" applyAlignment="1" applyProtection="1">
      <alignment horizontal="left" vertical="center" wrapText="1"/>
      <protection locked="0"/>
    </xf>
    <xf numFmtId="2" fontId="11" fillId="16" borderId="34" xfId="0" applyNumberFormat="1" applyFont="1" applyFill="1" applyBorder="1"/>
    <xf numFmtId="167" fontId="2" fillId="0" borderId="23" xfId="0" applyNumberFormat="1" applyFont="1" applyFill="1" applyBorder="1" applyAlignment="1">
      <alignment horizontal="right" wrapText="1"/>
    </xf>
    <xf numFmtId="167" fontId="2" fillId="0" borderId="32" xfId="0" applyNumberFormat="1" applyFont="1" applyFill="1" applyBorder="1" applyAlignment="1">
      <alignment horizontal="right" wrapText="1"/>
    </xf>
    <xf numFmtId="165" fontId="7" fillId="0" borderId="32" xfId="0" applyNumberFormat="1" applyFont="1" applyFill="1" applyBorder="1" applyAlignment="1">
      <alignment horizontal="right"/>
    </xf>
    <xf numFmtId="166" fontId="7" fillId="0" borderId="32" xfId="0" applyNumberFormat="1" applyFont="1" applyFill="1" applyBorder="1" applyAlignment="1">
      <alignment horizontal="right"/>
    </xf>
    <xf numFmtId="171" fontId="8" fillId="0" borderId="1" xfId="0" applyNumberFormat="1" applyFont="1" applyFill="1" applyBorder="1" applyAlignment="1">
      <alignment horizontal="right"/>
    </xf>
    <xf numFmtId="164" fontId="11" fillId="16" borderId="1" xfId="23" applyFont="1" applyFill="1" applyBorder="1"/>
    <xf numFmtId="0" fontId="8" fillId="16" borderId="14" xfId="0" applyFont="1" applyFill="1" applyBorder="1" applyAlignment="1">
      <alignment wrapText="1"/>
    </xf>
    <xf numFmtId="0" fontId="7" fillId="0" borderId="23" xfId="0" applyFont="1" applyFill="1" applyBorder="1" applyAlignment="1">
      <alignment horizontal="right"/>
    </xf>
    <xf numFmtId="0" fontId="2" fillId="0" borderId="23" xfId="0" applyFont="1" applyFill="1" applyBorder="1" applyAlignment="1">
      <alignment horizontal="right" wrapText="1"/>
    </xf>
    <xf numFmtId="43" fontId="7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wrapText="1"/>
    </xf>
    <xf numFmtId="167" fontId="5" fillId="0" borderId="1" xfId="0" applyNumberFormat="1" applyFont="1" applyFill="1" applyBorder="1" applyAlignment="1">
      <alignment horizontal="right" wrapText="1"/>
    </xf>
    <xf numFmtId="164" fontId="28" fillId="0" borderId="1" xfId="0" applyNumberFormat="1" applyFont="1" applyFill="1" applyBorder="1" applyAlignment="1">
      <alignment horizontal="right"/>
    </xf>
    <xf numFmtId="165" fontId="8" fillId="0" borderId="1" xfId="0" applyNumberFormat="1" applyFont="1" applyFill="1" applyBorder="1" applyAlignment="1">
      <alignment horizontal="right"/>
    </xf>
    <xf numFmtId="0" fontId="8" fillId="16" borderId="1" xfId="0" applyFont="1" applyFill="1" applyBorder="1"/>
    <xf numFmtId="2" fontId="11" fillId="16" borderId="1" xfId="0" applyNumberFormat="1" applyFont="1" applyFill="1" applyBorder="1" applyAlignment="1"/>
    <xf numFmtId="0" fontId="31" fillId="16" borderId="29" xfId="1" applyFont="1" applyFill="1" applyBorder="1" applyAlignment="1" applyProtection="1">
      <alignment horizontal="left" vertical="center" wrapText="1"/>
      <protection locked="0"/>
    </xf>
    <xf numFmtId="0" fontId="31" fillId="16" borderId="30" xfId="1" applyFont="1" applyFill="1" applyBorder="1" applyAlignment="1" applyProtection="1">
      <alignment horizontal="left" vertical="center" wrapText="1"/>
      <protection locked="0"/>
    </xf>
    <xf numFmtId="0" fontId="31" fillId="16" borderId="1" xfId="1" applyFont="1" applyFill="1" applyBorder="1" applyAlignment="1" applyProtection="1">
      <alignment horizontal="left" vertical="center" wrapText="1"/>
      <protection locked="0"/>
    </xf>
    <xf numFmtId="0" fontId="5" fillId="0" borderId="1" xfId="0" applyFont="1" applyFill="1" applyBorder="1" applyAlignment="1">
      <alignment vertical="center" wrapText="1"/>
    </xf>
    <xf numFmtId="0" fontId="22" fillId="0" borderId="0" xfId="0" applyFont="1" applyFill="1" applyBorder="1"/>
    <xf numFmtId="0" fontId="23" fillId="0" borderId="0" xfId="0" applyFont="1" applyFill="1" applyBorder="1"/>
    <xf numFmtId="4" fontId="8" fillId="0" borderId="0" xfId="0" applyNumberFormat="1" applyFont="1" applyFill="1" applyBorder="1"/>
    <xf numFmtId="0" fontId="38" fillId="0" borderId="0" xfId="0" applyFont="1" applyFill="1" applyBorder="1" applyAlignment="1">
      <alignment horizontal="center" vertical="center" wrapText="1"/>
    </xf>
    <xf numFmtId="0" fontId="33" fillId="0" borderId="0" xfId="0" applyFont="1" applyAlignment="1">
      <alignment horizontal="center"/>
    </xf>
    <xf numFmtId="43" fontId="8" fillId="0" borderId="0" xfId="0" applyNumberFormat="1" applyFont="1" applyBorder="1"/>
    <xf numFmtId="172" fontId="8" fillId="0" borderId="0" xfId="0" applyNumberFormat="1" applyFont="1" applyBorder="1"/>
    <xf numFmtId="164" fontId="8" fillId="0" borderId="0" xfId="0" applyNumberFormat="1" applyFont="1" applyBorder="1"/>
    <xf numFmtId="0" fontId="22" fillId="0" borderId="0" xfId="0" applyFont="1" applyBorder="1"/>
    <xf numFmtId="0" fontId="23" fillId="0" borderId="0" xfId="0" applyFont="1" applyBorder="1"/>
    <xf numFmtId="0" fontId="22" fillId="18" borderId="23" xfId="0" applyFont="1" applyFill="1" applyBorder="1" applyAlignment="1">
      <alignment horizontal="center"/>
    </xf>
    <xf numFmtId="0" fontId="7" fillId="18" borderId="1" xfId="0" applyFont="1" applyFill="1" applyBorder="1" applyAlignment="1">
      <alignment horizontal="center" vertical="center" wrapText="1"/>
    </xf>
    <xf numFmtId="0" fontId="7" fillId="18" borderId="1" xfId="0" applyFont="1" applyFill="1" applyBorder="1" applyAlignment="1">
      <alignment horizontal="center"/>
    </xf>
    <xf numFmtId="164" fontId="23" fillId="4" borderId="0" xfId="23" applyFont="1" applyFill="1" applyBorder="1" applyAlignment="1">
      <alignment horizontal="center" vertical="top" wrapText="1"/>
    </xf>
    <xf numFmtId="164" fontId="23" fillId="0" borderId="0" xfId="23" applyFont="1"/>
    <xf numFmtId="0" fontId="7" fillId="0" borderId="23" xfId="0" applyFont="1" applyBorder="1" applyAlignment="1">
      <alignment horizontal="center"/>
    </xf>
    <xf numFmtId="0" fontId="7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right" vertical="top"/>
    </xf>
    <xf numFmtId="0" fontId="8" fillId="0" borderId="0" xfId="0" applyFont="1" applyAlignment="1">
      <alignment vertical="top"/>
    </xf>
    <xf numFmtId="0" fontId="8" fillId="16" borderId="1" xfId="0" applyFont="1" applyFill="1" applyBorder="1" applyAlignment="1">
      <alignment vertical="top" wrapText="1"/>
    </xf>
    <xf numFmtId="2" fontId="8" fillId="16" borderId="1" xfId="0" applyNumberFormat="1" applyFont="1" applyFill="1" applyBorder="1" applyAlignment="1">
      <alignment vertical="top"/>
    </xf>
    <xf numFmtId="170" fontId="8" fillId="0" borderId="1" xfId="0" applyNumberFormat="1" applyFont="1" applyFill="1" applyBorder="1" applyAlignment="1">
      <alignment horizontal="right" vertical="top"/>
    </xf>
    <xf numFmtId="0" fontId="8" fillId="16" borderId="4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right" vertical="top"/>
    </xf>
    <xf numFmtId="164" fontId="8" fillId="0" borderId="0" xfId="23" applyFont="1" applyAlignment="1">
      <alignment vertical="top"/>
    </xf>
    <xf numFmtId="0" fontId="8" fillId="0" borderId="0" xfId="0" applyFont="1" applyFill="1" applyBorder="1" applyAlignment="1">
      <alignment vertical="top"/>
    </xf>
    <xf numFmtId="43" fontId="8" fillId="0" borderId="0" xfId="0" applyNumberFormat="1" applyFont="1" applyFill="1" applyBorder="1" applyAlignment="1">
      <alignment vertical="top"/>
    </xf>
    <xf numFmtId="43" fontId="7" fillId="0" borderId="1" xfId="0" applyNumberFormat="1" applyFont="1" applyFill="1" applyBorder="1" applyAlignment="1">
      <alignment horizontal="right" vertical="top"/>
    </xf>
    <xf numFmtId="0" fontId="31" fillId="16" borderId="23" xfId="1" applyFont="1" applyFill="1" applyBorder="1" applyAlignment="1" applyProtection="1">
      <alignment horizontal="left" vertical="center" wrapText="1"/>
      <protection locked="0"/>
    </xf>
    <xf numFmtId="4" fontId="8" fillId="0" borderId="0" xfId="23" applyNumberFormat="1" applyFont="1"/>
    <xf numFmtId="4" fontId="8" fillId="14" borderId="0" xfId="0" applyNumberFormat="1" applyFont="1" applyFill="1"/>
    <xf numFmtId="174" fontId="8" fillId="0" borderId="0" xfId="0" applyNumberFormat="1" applyFont="1"/>
    <xf numFmtId="164" fontId="8" fillId="0" borderId="0" xfId="0" applyNumberFormat="1" applyFont="1" applyFill="1" applyBorder="1"/>
    <xf numFmtId="0" fontId="8" fillId="16" borderId="35" xfId="0" applyFont="1" applyFill="1" applyBorder="1"/>
    <xf numFmtId="167" fontId="5" fillId="0" borderId="35" xfId="0" applyNumberFormat="1" applyFont="1" applyFill="1" applyBorder="1" applyAlignment="1">
      <alignment horizontal="right" wrapText="1"/>
    </xf>
    <xf numFmtId="0" fontId="8" fillId="0" borderId="35" xfId="0" applyFont="1" applyFill="1" applyBorder="1" applyAlignment="1">
      <alignment horizontal="center"/>
    </xf>
    <xf numFmtId="0" fontId="8" fillId="16" borderId="35" xfId="0" applyFont="1" applyFill="1" applyBorder="1" applyAlignment="1">
      <alignment vertical="top" wrapText="1"/>
    </xf>
    <xf numFmtId="4" fontId="8" fillId="0" borderId="0" xfId="0" applyNumberFormat="1" applyFont="1" applyFill="1"/>
    <xf numFmtId="4" fontId="22" fillId="0" borderId="0" xfId="0" applyNumberFormat="1" applyFont="1" applyFill="1"/>
    <xf numFmtId="4" fontId="23" fillId="0" borderId="0" xfId="0" applyNumberFormat="1" applyFont="1"/>
    <xf numFmtId="4" fontId="8" fillId="7" borderId="0" xfId="23" applyNumberFormat="1" applyFont="1" applyFill="1" applyAlignment="1">
      <alignment vertical="top"/>
    </xf>
    <xf numFmtId="4" fontId="23" fillId="2" borderId="0" xfId="0" applyNumberFormat="1" applyFont="1" applyFill="1"/>
    <xf numFmtId="4" fontId="8" fillId="0" borderId="0" xfId="0" applyNumberFormat="1" applyFont="1" applyAlignment="1">
      <alignment wrapText="1"/>
    </xf>
    <xf numFmtId="4" fontId="8" fillId="0" borderId="0" xfId="0" applyNumberFormat="1" applyFont="1" applyBorder="1"/>
    <xf numFmtId="4" fontId="23" fillId="0" borderId="0" xfId="23" applyNumberFormat="1" applyFont="1" applyFill="1" applyBorder="1" applyAlignment="1">
      <alignment vertical="top" wrapText="1"/>
    </xf>
    <xf numFmtId="4" fontId="8" fillId="10" borderId="0" xfId="0" applyNumberFormat="1" applyFont="1" applyFill="1" applyBorder="1"/>
    <xf numFmtId="164" fontId="8" fillId="10" borderId="0" xfId="23" applyFont="1" applyFill="1" applyAlignment="1">
      <alignment vertical="top"/>
    </xf>
    <xf numFmtId="4" fontId="8" fillId="10" borderId="0" xfId="0" applyNumberFormat="1" applyFont="1" applyFill="1"/>
    <xf numFmtId="164" fontId="8" fillId="10" borderId="0" xfId="23" applyFont="1" applyFill="1"/>
    <xf numFmtId="4" fontId="23" fillId="10" borderId="0" xfId="23" applyNumberFormat="1" applyFont="1" applyFill="1" applyBorder="1" applyAlignment="1">
      <alignment vertical="top" wrapText="1"/>
    </xf>
    <xf numFmtId="177" fontId="7" fillId="18" borderId="1" xfId="0" applyNumberFormat="1" applyFont="1" applyFill="1" applyBorder="1" applyAlignment="1">
      <alignment horizontal="center"/>
    </xf>
    <xf numFmtId="177" fontId="10" fillId="7" borderId="1" xfId="23" applyNumberFormat="1" applyFont="1" applyFill="1" applyBorder="1" applyAlignment="1">
      <alignment horizontal="center"/>
    </xf>
    <xf numFmtId="177" fontId="10" fillId="7" borderId="23" xfId="23" applyNumberFormat="1" applyFont="1" applyFill="1" applyBorder="1" applyAlignment="1">
      <alignment horizontal="center"/>
    </xf>
    <xf numFmtId="177" fontId="1" fillId="0" borderId="0" xfId="23" applyNumberFormat="1" applyFont="1"/>
    <xf numFmtId="177" fontId="23" fillId="0" borderId="0" xfId="23" applyNumberFormat="1" applyFont="1" applyAlignment="1"/>
    <xf numFmtId="177" fontId="23" fillId="0" borderId="0" xfId="23" applyNumberFormat="1" applyFont="1" applyAlignment="1">
      <alignment wrapText="1"/>
    </xf>
    <xf numFmtId="177" fontId="1" fillId="0" borderId="0" xfId="0" applyNumberFormat="1" applyFont="1"/>
    <xf numFmtId="177" fontId="1" fillId="0" borderId="0" xfId="0" applyNumberFormat="1" applyFont="1" applyAlignment="1"/>
    <xf numFmtId="4" fontId="11" fillId="16" borderId="1" xfId="0" applyNumberFormat="1" applyFont="1" applyFill="1" applyBorder="1"/>
    <xf numFmtId="4" fontId="17" fillId="15" borderId="0" xfId="0" applyNumberFormat="1" applyFont="1" applyFill="1" applyBorder="1" applyAlignment="1">
      <alignment vertical="center" wrapText="1"/>
    </xf>
    <xf numFmtId="4" fontId="23" fillId="0" borderId="0" xfId="0" applyNumberFormat="1" applyFont="1" applyFill="1" applyBorder="1"/>
    <xf numFmtId="4" fontId="16" fillId="2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/>
    <xf numFmtId="4" fontId="38" fillId="0" borderId="0" xfId="0" applyNumberFormat="1" applyFont="1" applyFill="1" applyBorder="1" applyAlignment="1">
      <alignment horizontal="center" vertical="center" wrapText="1"/>
    </xf>
    <xf numFmtId="4" fontId="11" fillId="2" borderId="0" xfId="0" applyNumberFormat="1" applyFont="1" applyFill="1" applyBorder="1" applyAlignment="1">
      <alignment horizontal="left"/>
    </xf>
    <xf numFmtId="4" fontId="8" fillId="2" borderId="0" xfId="0" applyNumberFormat="1" applyFont="1" applyFill="1" applyAlignment="1">
      <alignment vertical="top"/>
    </xf>
    <xf numFmtId="4" fontId="17" fillId="0" borderId="0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Border="1" applyAlignment="1">
      <alignment horizontal="left"/>
    </xf>
    <xf numFmtId="4" fontId="17" fillId="7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Border="1" applyAlignment="1">
      <alignment horizontal="left" wrapText="1"/>
    </xf>
    <xf numFmtId="4" fontId="7" fillId="7" borderId="0" xfId="23" applyNumberFormat="1" applyFont="1" applyFill="1" applyBorder="1"/>
    <xf numFmtId="4" fontId="7" fillId="15" borderId="0" xfId="23" applyNumberFormat="1" applyFont="1" applyFill="1" applyBorder="1"/>
    <xf numFmtId="4" fontId="12" fillId="0" borderId="0" xfId="23" applyNumberFormat="1" applyFont="1" applyBorder="1" applyAlignment="1">
      <alignment horizontal="left" wrapText="1"/>
    </xf>
    <xf numFmtId="4" fontId="7" fillId="7" borderId="0" xfId="0" applyNumberFormat="1" applyFont="1" applyFill="1" applyBorder="1"/>
    <xf numFmtId="4" fontId="7" fillId="15" borderId="0" xfId="0" applyNumberFormat="1" applyFont="1" applyFill="1" applyBorder="1"/>
    <xf numFmtId="4" fontId="7" fillId="0" borderId="0" xfId="0" applyNumberFormat="1" applyFont="1" applyBorder="1"/>
    <xf numFmtId="4" fontId="7" fillId="17" borderId="0" xfId="0" applyNumberFormat="1" applyFont="1" applyFill="1" applyBorder="1"/>
    <xf numFmtId="4" fontId="8" fillId="0" borderId="0" xfId="0" applyNumberFormat="1" applyFont="1" applyAlignment="1">
      <alignment horizontal="right"/>
    </xf>
    <xf numFmtId="0" fontId="7" fillId="17" borderId="1" xfId="0" applyFont="1" applyFill="1" applyBorder="1" applyAlignment="1">
      <alignment horizontal="left" wrapText="1"/>
    </xf>
    <xf numFmtId="178" fontId="8" fillId="0" borderId="0" xfId="0" applyNumberFormat="1" applyFont="1" applyBorder="1"/>
    <xf numFmtId="179" fontId="8" fillId="0" borderId="0" xfId="0" applyNumberFormat="1" applyFont="1" applyBorder="1"/>
    <xf numFmtId="175" fontId="8" fillId="0" borderId="0" xfId="23" applyNumberFormat="1" applyFont="1"/>
    <xf numFmtId="2" fontId="12" fillId="3" borderId="35" xfId="0" applyNumberFormat="1" applyFont="1" applyFill="1" applyBorder="1"/>
    <xf numFmtId="2" fontId="12" fillId="16" borderId="35" xfId="0" applyNumberFormat="1" applyFont="1" applyFill="1" applyBorder="1"/>
    <xf numFmtId="2" fontId="11" fillId="16" borderId="35" xfId="0" applyNumberFormat="1" applyFont="1" applyFill="1" applyBorder="1"/>
    <xf numFmtId="178" fontId="8" fillId="0" borderId="0" xfId="0" applyNumberFormat="1" applyFont="1"/>
    <xf numFmtId="176" fontId="8" fillId="0" borderId="0" xfId="0" applyNumberFormat="1" applyFont="1" applyAlignment="1">
      <alignment vertical="top"/>
    </xf>
    <xf numFmtId="43" fontId="8" fillId="0" borderId="0" xfId="0" applyNumberFormat="1" applyFont="1" applyFill="1" applyBorder="1" applyAlignment="1">
      <alignment horizontal="center" vertical="center" wrapText="1"/>
    </xf>
    <xf numFmtId="0" fontId="8" fillId="8" borderId="0" xfId="0" applyFont="1" applyFill="1"/>
    <xf numFmtId="4" fontId="8" fillId="8" borderId="0" xfId="0" applyNumberFormat="1" applyFont="1" applyFill="1"/>
    <xf numFmtId="0" fontId="23" fillId="0" borderId="0" xfId="0" applyFont="1"/>
    <xf numFmtId="0" fontId="23" fillId="0" borderId="0" xfId="0" applyFont="1" applyAlignment="1">
      <alignment horizontal="center"/>
    </xf>
    <xf numFmtId="181" fontId="8" fillId="0" borderId="0" xfId="0" applyNumberFormat="1" applyFont="1"/>
    <xf numFmtId="4" fontId="19" fillId="8" borderId="0" xfId="0" applyNumberFormat="1" applyFont="1" applyFill="1"/>
    <xf numFmtId="43" fontId="8" fillId="15" borderId="0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4" fontId="16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/>
    </xf>
    <xf numFmtId="4" fontId="11" fillId="0" borderId="0" xfId="0" applyNumberFormat="1" applyFont="1" applyFill="1" applyBorder="1" applyAlignment="1">
      <alignment horizontal="left"/>
    </xf>
    <xf numFmtId="0" fontId="7" fillId="4" borderId="3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right" vertical="top"/>
    </xf>
    <xf numFmtId="2" fontId="8" fillId="0" borderId="1" xfId="0" applyNumberFormat="1" applyFont="1" applyBorder="1" applyAlignment="1">
      <alignment vertical="top"/>
    </xf>
    <xf numFmtId="4" fontId="17" fillId="0" borderId="0" xfId="0" applyNumberFormat="1" applyFont="1" applyFill="1" applyBorder="1" applyAlignment="1">
      <alignment vertical="top" wrapText="1"/>
    </xf>
    <xf numFmtId="0" fontId="8" fillId="0" borderId="0" xfId="0" applyFont="1" applyFill="1" applyAlignment="1">
      <alignment vertical="top"/>
    </xf>
    <xf numFmtId="4" fontId="8" fillId="0" borderId="0" xfId="0" applyNumberFormat="1" applyFont="1" applyFill="1" applyAlignment="1">
      <alignment vertical="top"/>
    </xf>
    <xf numFmtId="0" fontId="8" fillId="0" borderId="21" xfId="0" applyFont="1" applyBorder="1" applyAlignment="1">
      <alignment vertical="top"/>
    </xf>
    <xf numFmtId="4" fontId="8" fillId="0" borderId="0" xfId="0" applyNumberFormat="1" applyFont="1" applyAlignment="1">
      <alignment vertical="top"/>
    </xf>
    <xf numFmtId="0" fontId="8" fillId="7" borderId="0" xfId="0" applyFont="1" applyFill="1"/>
    <xf numFmtId="0" fontId="8" fillId="7" borderId="0" xfId="0" applyFont="1" applyFill="1" applyAlignment="1">
      <alignment vertical="top"/>
    </xf>
    <xf numFmtId="2" fontId="7" fillId="0" borderId="0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right" vertical="top" wrapText="1"/>
    </xf>
    <xf numFmtId="165" fontId="7" fillId="0" borderId="1" xfId="0" applyNumberFormat="1" applyFont="1" applyFill="1" applyBorder="1" applyAlignment="1">
      <alignment horizontal="right" vertical="top"/>
    </xf>
    <xf numFmtId="166" fontId="7" fillId="0" borderId="1" xfId="0" applyNumberFormat="1" applyFont="1" applyFill="1" applyBorder="1" applyAlignment="1">
      <alignment horizontal="right" vertical="top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right" vertical="top"/>
    </xf>
    <xf numFmtId="2" fontId="7" fillId="0" borderId="0" xfId="0" applyNumberFormat="1" applyFont="1" applyBorder="1" applyAlignment="1">
      <alignment vertical="top"/>
    </xf>
    <xf numFmtId="4" fontId="7" fillId="7" borderId="0" xfId="0" applyNumberFormat="1" applyFont="1" applyFill="1" applyBorder="1" applyAlignment="1">
      <alignment vertical="top"/>
    </xf>
    <xf numFmtId="4" fontId="8" fillId="16" borderId="0" xfId="0" applyNumberFormat="1" applyFont="1" applyFill="1" applyAlignment="1">
      <alignment vertical="top"/>
    </xf>
    <xf numFmtId="0" fontId="22" fillId="0" borderId="21" xfId="0" applyFont="1" applyBorder="1" applyAlignment="1">
      <alignment vertical="top"/>
    </xf>
    <xf numFmtId="0" fontId="7" fillId="0" borderId="14" xfId="0" applyFont="1" applyFill="1" applyBorder="1" applyAlignment="1">
      <alignment horizontal="center" vertical="top" wrapText="1"/>
    </xf>
    <xf numFmtId="0" fontId="7" fillId="0" borderId="14" xfId="0" applyFont="1" applyBorder="1" applyAlignment="1">
      <alignment horizontal="center" vertical="top"/>
    </xf>
    <xf numFmtId="165" fontId="7" fillId="0" borderId="14" xfId="0" applyNumberFormat="1" applyFont="1" applyFill="1" applyBorder="1" applyAlignment="1">
      <alignment horizontal="right" vertical="top"/>
    </xf>
    <xf numFmtId="0" fontId="31" fillId="16" borderId="14" xfId="0" applyFont="1" applyFill="1" applyBorder="1" applyAlignment="1">
      <alignment vertical="top" wrapText="1"/>
    </xf>
    <xf numFmtId="0" fontId="22" fillId="0" borderId="0" xfId="0" applyFont="1" applyAlignment="1">
      <alignment vertical="top"/>
    </xf>
    <xf numFmtId="0" fontId="7" fillId="0" borderId="32" xfId="0" applyFont="1" applyFill="1" applyBorder="1" applyAlignment="1">
      <alignment horizontal="right" vertical="top"/>
    </xf>
    <xf numFmtId="0" fontId="1" fillId="0" borderId="35" xfId="0" applyFont="1" applyFill="1" applyBorder="1" applyAlignment="1">
      <alignment vertical="top"/>
    </xf>
    <xf numFmtId="165" fontId="7" fillId="0" borderId="35" xfId="0" applyNumberFormat="1" applyFont="1" applyFill="1" applyBorder="1" applyAlignment="1">
      <alignment vertical="top"/>
    </xf>
    <xf numFmtId="166" fontId="7" fillId="0" borderId="35" xfId="0" applyNumberFormat="1" applyFont="1" applyFill="1" applyBorder="1" applyAlignment="1">
      <alignment vertical="top"/>
    </xf>
    <xf numFmtId="0" fontId="7" fillId="0" borderId="35" xfId="0" applyFont="1" applyBorder="1" applyAlignment="1">
      <alignment horizontal="center" vertical="top"/>
    </xf>
    <xf numFmtId="0" fontId="7" fillId="3" borderId="35" xfId="0" applyFont="1" applyFill="1" applyBorder="1" applyAlignment="1">
      <alignment vertical="top" wrapText="1"/>
    </xf>
    <xf numFmtId="0" fontId="7" fillId="0" borderId="35" xfId="0" applyFont="1" applyFill="1" applyBorder="1" applyAlignment="1">
      <alignment horizontal="center" vertical="top" wrapText="1"/>
    </xf>
    <xf numFmtId="4" fontId="7" fillId="0" borderId="0" xfId="0" applyNumberFormat="1" applyFont="1" applyFill="1" applyBorder="1"/>
    <xf numFmtId="2" fontId="8" fillId="16" borderId="23" xfId="0" applyNumberFormat="1" applyFont="1" applyFill="1" applyBorder="1" applyAlignment="1">
      <alignment wrapText="1"/>
    </xf>
    <xf numFmtId="0" fontId="7" fillId="0" borderId="35" xfId="0" applyFont="1" applyBorder="1" applyAlignment="1">
      <alignment horizontal="center" vertical="top" wrapText="1"/>
    </xf>
    <xf numFmtId="0" fontId="7" fillId="0" borderId="35" xfId="0" applyFont="1" applyFill="1" applyBorder="1" applyAlignment="1">
      <alignment vertical="top" wrapText="1"/>
    </xf>
    <xf numFmtId="43" fontId="2" fillId="0" borderId="35" xfId="0" applyNumberFormat="1" applyFont="1" applyFill="1" applyBorder="1" applyAlignment="1">
      <alignment horizontal="right" vertical="top" wrapText="1"/>
    </xf>
    <xf numFmtId="2" fontId="7" fillId="3" borderId="35" xfId="0" applyNumberFormat="1" applyFont="1" applyFill="1" applyBorder="1" applyAlignment="1">
      <alignment vertical="top"/>
    </xf>
    <xf numFmtId="2" fontId="7" fillId="16" borderId="35" xfId="0" applyNumberFormat="1" applyFont="1" applyFill="1" applyBorder="1" applyAlignment="1">
      <alignment vertical="top"/>
    </xf>
    <xf numFmtId="2" fontId="8" fillId="16" borderId="35" xfId="0" applyNumberFormat="1" applyFont="1" applyFill="1" applyBorder="1" applyAlignment="1">
      <alignment vertical="top"/>
    </xf>
    <xf numFmtId="167" fontId="7" fillId="0" borderId="0" xfId="0" applyNumberFormat="1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5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/>
    </xf>
    <xf numFmtId="4" fontId="8" fillId="0" borderId="1" xfId="0" applyNumberFormat="1" applyFont="1" applyFill="1" applyBorder="1" applyAlignment="1">
      <alignment horizontal="right"/>
    </xf>
    <xf numFmtId="4" fontId="2" fillId="0" borderId="1" xfId="0" applyNumberFormat="1" applyFont="1" applyFill="1" applyBorder="1" applyAlignment="1">
      <alignment horizontal="right" wrapText="1"/>
    </xf>
    <xf numFmtId="4" fontId="2" fillId="0" borderId="35" xfId="0" applyNumberFormat="1" applyFont="1" applyBorder="1" applyAlignment="1">
      <alignment vertical="top" wrapText="1"/>
    </xf>
    <xf numFmtId="4" fontId="7" fillId="0" borderId="35" xfId="0" applyNumberFormat="1" applyFont="1" applyBorder="1" applyAlignment="1">
      <alignment vertical="top"/>
    </xf>
    <xf numFmtId="4" fontId="7" fillId="0" borderId="1" xfId="23" applyNumberFormat="1" applyFont="1" applyFill="1" applyBorder="1" applyAlignment="1">
      <alignment horizontal="right"/>
    </xf>
    <xf numFmtId="4" fontId="2" fillId="0" borderId="35" xfId="0" applyNumberFormat="1" applyFont="1" applyFill="1" applyBorder="1" applyAlignment="1">
      <alignment horizontal="right" vertical="top" wrapText="1"/>
    </xf>
    <xf numFmtId="4" fontId="7" fillId="0" borderId="35" xfId="0" applyNumberFormat="1" applyFont="1" applyFill="1" applyBorder="1" applyAlignment="1">
      <alignment horizontal="right" vertical="top"/>
    </xf>
    <xf numFmtId="4" fontId="7" fillId="0" borderId="32" xfId="23" applyNumberFormat="1" applyFont="1" applyFill="1" applyBorder="1" applyAlignment="1">
      <alignment horizontal="right"/>
    </xf>
    <xf numFmtId="4" fontId="8" fillId="0" borderId="14" xfId="0" applyNumberFormat="1" applyFont="1" applyFill="1" applyBorder="1" applyAlignment="1">
      <alignment horizontal="right"/>
    </xf>
    <xf numFmtId="4" fontId="5" fillId="0" borderId="1" xfId="0" applyNumberFormat="1" applyFont="1" applyFill="1" applyBorder="1" applyAlignment="1">
      <alignment horizontal="right" wrapText="1"/>
    </xf>
    <xf numFmtId="4" fontId="2" fillId="0" borderId="1" xfId="23" applyNumberFormat="1" applyFont="1" applyFill="1" applyBorder="1" applyAlignment="1">
      <alignment horizontal="center" vertical="top" wrapText="1"/>
    </xf>
    <xf numFmtId="4" fontId="2" fillId="0" borderId="14" xfId="23" applyNumberFormat="1" applyFont="1" applyFill="1" applyBorder="1" applyAlignment="1">
      <alignment horizontal="center" vertical="top" wrapText="1"/>
    </xf>
    <xf numFmtId="4" fontId="7" fillId="0" borderId="1" xfId="23" applyNumberFormat="1" applyFont="1" applyFill="1" applyBorder="1" applyAlignment="1">
      <alignment horizontal="center" vertical="top"/>
    </xf>
    <xf numFmtId="4" fontId="8" fillId="16" borderId="35" xfId="0" applyNumberFormat="1" applyFont="1" applyFill="1" applyBorder="1" applyAlignment="1">
      <alignment vertical="top" wrapText="1"/>
    </xf>
    <xf numFmtId="4" fontId="7" fillId="0" borderId="35" xfId="0" applyNumberFormat="1" applyFont="1" applyBorder="1" applyAlignment="1">
      <alignment vertical="top" wrapText="1"/>
    </xf>
    <xf numFmtId="4" fontId="1" fillId="0" borderId="35" xfId="0" applyNumberFormat="1" applyFont="1" applyFill="1" applyBorder="1" applyAlignment="1">
      <alignment horizontal="right" vertical="top"/>
    </xf>
    <xf numFmtId="4" fontId="7" fillId="0" borderId="35" xfId="0" applyNumberFormat="1" applyFont="1" applyBorder="1" applyAlignment="1">
      <alignment horizontal="center" vertical="top"/>
    </xf>
    <xf numFmtId="4" fontId="5" fillId="0" borderId="1" xfId="0" applyNumberFormat="1" applyFont="1" applyBorder="1" applyAlignment="1">
      <alignment vertical="top" wrapText="1"/>
    </xf>
    <xf numFmtId="3" fontId="7" fillId="0" borderId="35" xfId="0" applyNumberFormat="1" applyFont="1" applyBorder="1" applyAlignment="1">
      <alignment horizontal="center" vertical="top" wrapText="1"/>
    </xf>
    <xf numFmtId="180" fontId="8" fillId="0" borderId="0" xfId="0" applyNumberFormat="1" applyFont="1"/>
    <xf numFmtId="167" fontId="2" fillId="0" borderId="1" xfId="0" applyNumberFormat="1" applyFont="1" applyFill="1" applyBorder="1" applyAlignment="1">
      <alignment horizontal="right" vertical="top" wrapText="1"/>
    </xf>
    <xf numFmtId="4" fontId="5" fillId="0" borderId="1" xfId="23" applyNumberFormat="1" applyFont="1" applyFill="1" applyBorder="1" applyAlignment="1">
      <alignment horizontal="right" vertical="top" wrapText="1"/>
    </xf>
    <xf numFmtId="0" fontId="5" fillId="16" borderId="1" xfId="0" applyFont="1" applyFill="1" applyBorder="1" applyAlignment="1">
      <alignment vertical="top" wrapText="1"/>
    </xf>
    <xf numFmtId="0" fontId="7" fillId="0" borderId="31" xfId="0" applyFont="1" applyBorder="1" applyAlignment="1">
      <alignment horizontal="center" vertical="top"/>
    </xf>
    <xf numFmtId="0" fontId="5" fillId="16" borderId="28" xfId="0" applyFont="1" applyFill="1" applyBorder="1" applyAlignment="1">
      <alignment vertical="top" wrapText="1"/>
    </xf>
    <xf numFmtId="4" fontId="8" fillId="10" borderId="0" xfId="0" applyNumberFormat="1" applyFont="1" applyFill="1" applyBorder="1" applyAlignment="1">
      <alignment vertical="top"/>
    </xf>
    <xf numFmtId="174" fontId="8" fillId="0" borderId="0" xfId="0" applyNumberFormat="1" applyFont="1" applyBorder="1" applyAlignment="1">
      <alignment vertical="top"/>
    </xf>
    <xf numFmtId="4" fontId="8" fillId="0" borderId="1" xfId="23" applyNumberFormat="1" applyFont="1" applyFill="1" applyBorder="1" applyAlignment="1">
      <alignment horizontal="right" vertical="top"/>
    </xf>
    <xf numFmtId="4" fontId="8" fillId="10" borderId="0" xfId="0" applyNumberFormat="1" applyFont="1" applyFill="1" applyAlignment="1">
      <alignment vertical="top"/>
    </xf>
    <xf numFmtId="4" fontId="5" fillId="0" borderId="14" xfId="23" applyNumberFormat="1" applyFont="1" applyFill="1" applyBorder="1" applyAlignment="1">
      <alignment horizontal="right" vertical="top" wrapText="1"/>
    </xf>
    <xf numFmtId="0" fontId="5" fillId="16" borderId="14" xfId="0" applyFont="1" applyFill="1" applyBorder="1" applyAlignment="1">
      <alignment vertical="top" wrapText="1"/>
    </xf>
    <xf numFmtId="0" fontId="8" fillId="0" borderId="0" xfId="0" applyFont="1" applyBorder="1" applyAlignment="1">
      <alignment horizontal="right" vertical="top"/>
    </xf>
    <xf numFmtId="167" fontId="2" fillId="0" borderId="14" xfId="0" applyNumberFormat="1" applyFont="1" applyFill="1" applyBorder="1" applyAlignment="1">
      <alignment horizontal="right" vertical="top" wrapText="1"/>
    </xf>
    <xf numFmtId="4" fontId="8" fillId="16" borderId="0" xfId="0" applyNumberFormat="1" applyFont="1" applyFill="1" applyBorder="1" applyAlignment="1">
      <alignment vertical="top"/>
    </xf>
    <xf numFmtId="4" fontId="31" fillId="16" borderId="0" xfId="0" applyNumberFormat="1" applyFont="1" applyFill="1" applyAlignment="1">
      <alignment vertical="top"/>
    </xf>
    <xf numFmtId="0" fontId="8" fillId="19" borderId="0" xfId="0" applyFont="1" applyFill="1" applyBorder="1" applyAlignment="1">
      <alignment vertical="top" wrapText="1"/>
    </xf>
    <xf numFmtId="49" fontId="23" fillId="0" borderId="0" xfId="0" applyNumberFormat="1" applyFont="1" applyBorder="1" applyAlignment="1">
      <alignment horizontal="center" vertical="top"/>
    </xf>
    <xf numFmtId="0" fontId="23" fillId="0" borderId="0" xfId="0" applyFont="1" applyAlignment="1">
      <alignment horizontal="center" vertical="center"/>
    </xf>
    <xf numFmtId="4" fontId="8" fillId="17" borderId="0" xfId="0" applyNumberFormat="1" applyFont="1" applyFill="1" applyBorder="1" applyAlignment="1">
      <alignment vertical="top"/>
    </xf>
    <xf numFmtId="4" fontId="8" fillId="17" borderId="0" xfId="0" applyNumberFormat="1" applyFont="1" applyFill="1" applyAlignment="1">
      <alignment vertical="top"/>
    </xf>
    <xf numFmtId="43" fontId="1" fillId="0" borderId="1" xfId="0" applyNumberFormat="1" applyFont="1" applyFill="1" applyBorder="1" applyAlignment="1">
      <alignment horizontal="right" vertical="top"/>
    </xf>
    <xf numFmtId="43" fontId="8" fillId="0" borderId="0" xfId="0" applyNumberFormat="1" applyFont="1" applyFill="1" applyBorder="1"/>
    <xf numFmtId="4" fontId="8" fillId="15" borderId="0" xfId="0" applyNumberFormat="1" applyFont="1" applyFill="1"/>
    <xf numFmtId="174" fontId="8" fillId="0" borderId="0" xfId="0" applyNumberFormat="1" applyFont="1" applyFill="1"/>
    <xf numFmtId="182" fontId="22" fillId="8" borderId="0" xfId="0" applyNumberFormat="1" applyFont="1" applyFill="1"/>
    <xf numFmtId="43" fontId="8" fillId="0" borderId="0" xfId="0" applyNumberFormat="1" applyFont="1" applyFill="1" applyAlignment="1">
      <alignment vertical="top"/>
    </xf>
    <xf numFmtId="0" fontId="13" fillId="3" borderId="36" xfId="1" applyFont="1" applyFill="1" applyBorder="1" applyAlignment="1" applyProtection="1">
      <alignment horizontal="left" vertical="center" wrapText="1"/>
      <protection locked="0"/>
    </xf>
    <xf numFmtId="0" fontId="7" fillId="0" borderId="32" xfId="0" applyFont="1" applyFill="1" applyBorder="1" applyAlignment="1">
      <alignment wrapText="1"/>
    </xf>
    <xf numFmtId="2" fontId="7" fillId="3" borderId="32" xfId="0" applyNumberFormat="1" applyFont="1" applyFill="1" applyBorder="1"/>
    <xf numFmtId="0" fontId="5" fillId="16" borderId="35" xfId="0" applyFont="1" applyFill="1" applyBorder="1" applyAlignment="1">
      <alignment vertical="top" wrapText="1"/>
    </xf>
    <xf numFmtId="167" fontId="2" fillId="0" borderId="35" xfId="0" applyNumberFormat="1" applyFont="1" applyFill="1" applyBorder="1" applyAlignment="1">
      <alignment horizontal="right" vertical="top" wrapText="1"/>
    </xf>
    <xf numFmtId="0" fontId="5" fillId="3" borderId="35" xfId="0" applyFont="1" applyFill="1" applyBorder="1" applyAlignment="1">
      <alignment vertical="top" wrapText="1"/>
    </xf>
    <xf numFmtId="0" fontId="31" fillId="16" borderId="35" xfId="0" applyFont="1" applyFill="1" applyBorder="1" applyAlignment="1">
      <alignment vertical="top" wrapText="1"/>
    </xf>
    <xf numFmtId="174" fontId="8" fillId="0" borderId="0" xfId="0" applyNumberFormat="1" applyFont="1" applyFill="1" applyBorder="1"/>
    <xf numFmtId="179" fontId="8" fillId="0" borderId="0" xfId="0" applyNumberFormat="1" applyFont="1"/>
    <xf numFmtId="4" fontId="11" fillId="0" borderId="0" xfId="0" applyNumberFormat="1" applyFont="1" applyBorder="1" applyAlignment="1">
      <alignment horizontal="left" vertical="top"/>
    </xf>
    <xf numFmtId="0" fontId="22" fillId="17" borderId="35" xfId="0" applyFont="1" applyFill="1" applyBorder="1" applyAlignment="1">
      <alignment vertical="top" wrapText="1"/>
    </xf>
    <xf numFmtId="182" fontId="8" fillId="0" borderId="0" xfId="0" applyNumberFormat="1" applyFont="1"/>
    <xf numFmtId="0" fontId="7" fillId="0" borderId="32" xfId="0" applyFont="1" applyBorder="1" applyAlignment="1">
      <alignment horizontal="center"/>
    </xf>
    <xf numFmtId="0" fontId="7" fillId="0" borderId="32" xfId="0" applyFont="1" applyBorder="1" applyAlignment="1">
      <alignment horizontal="center" wrapText="1"/>
    </xf>
    <xf numFmtId="0" fontId="7" fillId="0" borderId="35" xfId="0" applyFont="1" applyBorder="1" applyAlignment="1">
      <alignment horizontal="center"/>
    </xf>
    <xf numFmtId="0" fontId="12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vertical="top"/>
    </xf>
    <xf numFmtId="4" fontId="17" fillId="0" borderId="0" xfId="0" applyNumberFormat="1" applyFont="1" applyBorder="1" applyAlignment="1">
      <alignment vertical="center" wrapText="1"/>
    </xf>
    <xf numFmtId="0" fontId="7" fillId="0" borderId="0" xfId="0" applyFont="1" applyBorder="1" applyAlignment="1">
      <alignment vertical="top"/>
    </xf>
    <xf numFmtId="0" fontId="7" fillId="0" borderId="0" xfId="0" applyFont="1" applyBorder="1" applyAlignment="1">
      <alignment wrapText="1"/>
    </xf>
    <xf numFmtId="0" fontId="16" fillId="2" borderId="37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top"/>
    </xf>
    <xf numFmtId="0" fontId="8" fillId="16" borderId="37" xfId="0" applyFont="1" applyFill="1" applyBorder="1" applyAlignment="1">
      <alignment vertical="top" wrapText="1"/>
    </xf>
    <xf numFmtId="43" fontId="7" fillId="0" borderId="37" xfId="0" applyNumberFormat="1" applyFont="1" applyFill="1" applyBorder="1" applyAlignment="1">
      <alignment horizontal="right" vertical="top"/>
    </xf>
    <xf numFmtId="0" fontId="7" fillId="0" borderId="37" xfId="0" applyFont="1" applyFill="1" applyBorder="1" applyAlignment="1">
      <alignment horizontal="right" vertical="top"/>
    </xf>
    <xf numFmtId="167" fontId="8" fillId="0" borderId="37" xfId="0" applyNumberFormat="1" applyFont="1" applyFill="1" applyBorder="1" applyAlignment="1">
      <alignment horizontal="right" vertical="top"/>
    </xf>
    <xf numFmtId="0" fontId="8" fillId="0" borderId="37" xfId="0" applyFont="1" applyFill="1" applyBorder="1" applyAlignment="1">
      <alignment horizontal="right" vertical="top"/>
    </xf>
    <xf numFmtId="4" fontId="8" fillId="0" borderId="37" xfId="0" applyNumberFormat="1" applyFont="1" applyFill="1" applyBorder="1" applyAlignment="1">
      <alignment horizontal="right" vertical="top"/>
    </xf>
    <xf numFmtId="2" fontId="8" fillId="16" borderId="37" xfId="0" applyNumberFormat="1" applyFont="1" applyFill="1" applyBorder="1" applyAlignment="1">
      <alignment vertical="top"/>
    </xf>
    <xf numFmtId="4" fontId="11" fillId="16" borderId="37" xfId="0" applyNumberFormat="1" applyFont="1" applyFill="1" applyBorder="1"/>
    <xf numFmtId="0" fontId="18" fillId="2" borderId="37" xfId="0" applyFont="1" applyFill="1" applyBorder="1" applyAlignment="1">
      <alignment horizontal="center" vertical="center" wrapText="1"/>
    </xf>
    <xf numFmtId="0" fontId="7" fillId="4" borderId="37" xfId="0" applyFont="1" applyFill="1" applyBorder="1" applyAlignment="1">
      <alignment horizontal="center"/>
    </xf>
    <xf numFmtId="0" fontId="8" fillId="16" borderId="37" xfId="0" applyFont="1" applyFill="1" applyBorder="1" applyAlignment="1">
      <alignment wrapText="1"/>
    </xf>
    <xf numFmtId="0" fontId="2" fillId="0" borderId="37" xfId="0" applyFont="1" applyFill="1" applyBorder="1" applyAlignment="1">
      <alignment horizontal="right" wrapText="1"/>
    </xf>
    <xf numFmtId="0" fontId="7" fillId="0" borderId="37" xfId="0" applyFont="1" applyFill="1" applyBorder="1" applyAlignment="1">
      <alignment horizontal="right"/>
    </xf>
    <xf numFmtId="169" fontId="8" fillId="0" borderId="37" xfId="0" applyNumberFormat="1" applyFont="1" applyFill="1" applyBorder="1" applyAlignment="1">
      <alignment horizontal="right"/>
    </xf>
    <xf numFmtId="0" fontId="8" fillId="0" borderId="37" xfId="0" applyFont="1" applyFill="1" applyBorder="1" applyAlignment="1">
      <alignment horizontal="right"/>
    </xf>
    <xf numFmtId="4" fontId="8" fillId="0" borderId="37" xfId="0" applyNumberFormat="1" applyFont="1" applyFill="1" applyBorder="1" applyAlignment="1">
      <alignment horizontal="right"/>
    </xf>
    <xf numFmtId="167" fontId="8" fillId="16" borderId="37" xfId="0" applyNumberFormat="1" applyFont="1" applyFill="1" applyBorder="1"/>
    <xf numFmtId="2" fontId="11" fillId="16" borderId="37" xfId="0" applyNumberFormat="1" applyFont="1" applyFill="1" applyBorder="1"/>
    <xf numFmtId="0" fontId="8" fillId="16" borderId="37" xfId="0" applyFont="1" applyFill="1" applyBorder="1" applyAlignment="1">
      <alignment horizontal="justify" vertical="top" wrapText="1"/>
    </xf>
    <xf numFmtId="43" fontId="1" fillId="0" borderId="37" xfId="0" applyNumberFormat="1" applyFont="1" applyFill="1" applyBorder="1" applyAlignment="1">
      <alignment horizontal="right" vertical="top"/>
    </xf>
    <xf numFmtId="168" fontId="8" fillId="0" borderId="37" xfId="0" applyNumberFormat="1" applyFont="1" applyFill="1" applyBorder="1" applyAlignment="1">
      <alignment horizontal="right" vertical="top"/>
    </xf>
    <xf numFmtId="4" fontId="8" fillId="0" borderId="37" xfId="0" applyNumberFormat="1" applyFont="1" applyBorder="1" applyAlignment="1">
      <alignment vertical="top"/>
    </xf>
    <xf numFmtId="0" fontId="1" fillId="0" borderId="37" xfId="0" applyFont="1" applyFill="1" applyBorder="1" applyAlignment="1">
      <alignment horizontal="right" vertical="top"/>
    </xf>
    <xf numFmtId="0" fontId="10" fillId="2" borderId="37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wrapText="1"/>
    </xf>
    <xf numFmtId="0" fontId="7" fillId="16" borderId="37" xfId="0" applyFont="1" applyFill="1" applyBorder="1"/>
    <xf numFmtId="167" fontId="2" fillId="0" borderId="37" xfId="0" applyNumberFormat="1" applyFont="1" applyFill="1" applyBorder="1" applyAlignment="1">
      <alignment horizontal="right" wrapText="1"/>
    </xf>
    <xf numFmtId="0" fontId="1" fillId="0" borderId="37" xfId="0" applyFont="1" applyFill="1" applyBorder="1" applyAlignment="1">
      <alignment horizontal="right"/>
    </xf>
    <xf numFmtId="165" fontId="7" fillId="0" borderId="37" xfId="0" applyNumberFormat="1" applyFont="1" applyFill="1" applyBorder="1" applyAlignment="1">
      <alignment horizontal="right"/>
    </xf>
    <xf numFmtId="167" fontId="7" fillId="0" borderId="37" xfId="0" applyNumberFormat="1" applyFont="1" applyFill="1" applyBorder="1" applyAlignment="1">
      <alignment horizontal="right"/>
    </xf>
    <xf numFmtId="4" fontId="2" fillId="0" borderId="37" xfId="0" applyNumberFormat="1" applyFont="1" applyFill="1" applyBorder="1" applyAlignment="1">
      <alignment horizontal="right" wrapText="1"/>
    </xf>
    <xf numFmtId="0" fontId="7" fillId="0" borderId="37" xfId="0" applyFont="1" applyBorder="1" applyAlignment="1">
      <alignment horizontal="center"/>
    </xf>
    <xf numFmtId="2" fontId="7" fillId="16" borderId="37" xfId="0" applyNumberFormat="1" applyFont="1" applyFill="1" applyBorder="1"/>
    <xf numFmtId="2" fontId="12" fillId="16" borderId="37" xfId="0" applyNumberFormat="1" applyFont="1" applyFill="1" applyBorder="1" applyAlignment="1"/>
    <xf numFmtId="0" fontId="7" fillId="0" borderId="37" xfId="0" applyFont="1" applyFill="1" applyBorder="1" applyAlignment="1">
      <alignment horizontal="center" vertical="top" wrapText="1"/>
    </xf>
    <xf numFmtId="0" fontId="7" fillId="16" borderId="37" xfId="0" applyFont="1" applyFill="1" applyBorder="1" applyAlignment="1">
      <alignment vertical="top" wrapText="1"/>
    </xf>
    <xf numFmtId="0" fontId="7" fillId="0" borderId="37" xfId="0" applyFont="1" applyFill="1" applyBorder="1" applyAlignment="1">
      <alignment horizontal="left" vertical="top" wrapText="1"/>
    </xf>
    <xf numFmtId="0" fontId="2" fillId="0" borderId="37" xfId="0" applyFont="1" applyFill="1" applyBorder="1" applyAlignment="1">
      <alignment horizontal="right" vertical="top" wrapText="1"/>
    </xf>
    <xf numFmtId="165" fontId="7" fillId="0" borderId="37" xfId="0" applyNumberFormat="1" applyFont="1" applyFill="1" applyBorder="1" applyAlignment="1">
      <alignment horizontal="right" vertical="top"/>
    </xf>
    <xf numFmtId="166" fontId="7" fillId="0" borderId="37" xfId="0" applyNumberFormat="1" applyFont="1" applyFill="1" applyBorder="1" applyAlignment="1">
      <alignment horizontal="right" vertical="top"/>
    </xf>
    <xf numFmtId="4" fontId="2" fillId="0" borderId="37" xfId="23" applyNumberFormat="1" applyFont="1" applyFill="1" applyBorder="1" applyAlignment="1">
      <alignment horizontal="right" vertical="top" wrapText="1"/>
    </xf>
    <xf numFmtId="2" fontId="7" fillId="16" borderId="37" xfId="0" applyNumberFormat="1" applyFont="1" applyFill="1" applyBorder="1" applyAlignment="1">
      <alignment vertical="top"/>
    </xf>
    <xf numFmtId="2" fontId="12" fillId="16" borderId="37" xfId="0" applyNumberFormat="1" applyFont="1" applyFill="1" applyBorder="1"/>
    <xf numFmtId="0" fontId="7" fillId="0" borderId="37" xfId="0" applyFont="1" applyBorder="1" applyAlignment="1">
      <alignment horizontal="center" wrapText="1"/>
    </xf>
    <xf numFmtId="0" fontId="7" fillId="16" borderId="37" xfId="0" applyFont="1" applyFill="1" applyBorder="1" applyAlignment="1">
      <alignment wrapText="1"/>
    </xf>
    <xf numFmtId="0" fontId="7" fillId="0" borderId="37" xfId="0" applyFont="1" applyBorder="1" applyAlignment="1">
      <alignment wrapText="1"/>
    </xf>
    <xf numFmtId="166" fontId="7" fillId="0" borderId="37" xfId="0" applyNumberFormat="1" applyFont="1" applyFill="1" applyBorder="1" applyAlignment="1">
      <alignment horizontal="right"/>
    </xf>
    <xf numFmtId="0" fontId="1" fillId="0" borderId="37" xfId="0" applyFont="1" applyFill="1" applyBorder="1" applyAlignment="1">
      <alignment horizontal="right" wrapText="1"/>
    </xf>
    <xf numFmtId="165" fontId="7" fillId="0" borderId="37" xfId="0" applyNumberFormat="1" applyFont="1" applyFill="1" applyBorder="1" applyAlignment="1">
      <alignment horizontal="right" wrapText="1"/>
    </xf>
    <xf numFmtId="166" fontId="7" fillId="0" borderId="37" xfId="0" applyNumberFormat="1" applyFont="1" applyFill="1" applyBorder="1" applyAlignment="1">
      <alignment horizontal="right" wrapText="1"/>
    </xf>
    <xf numFmtId="0" fontId="2" fillId="0" borderId="37" xfId="0" applyFont="1" applyBorder="1" applyAlignment="1">
      <alignment horizontal="center" vertical="center" wrapText="1"/>
    </xf>
    <xf numFmtId="2" fontId="7" fillId="16" borderId="37" xfId="0" applyNumberFormat="1" applyFont="1" applyFill="1" applyBorder="1" applyAlignment="1">
      <alignment wrapText="1"/>
    </xf>
    <xf numFmtId="3" fontId="7" fillId="0" borderId="37" xfId="0" applyNumberFormat="1" applyFont="1" applyBorder="1" applyAlignment="1">
      <alignment horizontal="center" vertical="top" wrapText="1"/>
    </xf>
    <xf numFmtId="4" fontId="7" fillId="16" borderId="37" xfId="0" applyNumberFormat="1" applyFont="1" applyFill="1" applyBorder="1" applyAlignment="1">
      <alignment vertical="top" wrapText="1"/>
    </xf>
    <xf numFmtId="4" fontId="7" fillId="0" borderId="37" xfId="0" applyNumberFormat="1" applyFont="1" applyBorder="1" applyAlignment="1">
      <alignment vertical="top" wrapText="1"/>
    </xf>
    <xf numFmtId="43" fontId="2" fillId="0" borderId="37" xfId="0" applyNumberFormat="1" applyFont="1" applyFill="1" applyBorder="1" applyAlignment="1">
      <alignment horizontal="right" vertical="top" wrapText="1"/>
    </xf>
    <xf numFmtId="0" fontId="1" fillId="0" borderId="37" xfId="0" applyFont="1" applyFill="1" applyBorder="1" applyAlignment="1">
      <alignment vertical="top"/>
    </xf>
    <xf numFmtId="165" fontId="7" fillId="0" borderId="37" xfId="0" applyNumberFormat="1" applyFont="1" applyFill="1" applyBorder="1" applyAlignment="1">
      <alignment vertical="top"/>
    </xf>
    <xf numFmtId="166" fontId="7" fillId="0" borderId="37" xfId="0" applyNumberFormat="1" applyFont="1" applyBorder="1" applyAlignment="1">
      <alignment vertical="top"/>
    </xf>
    <xf numFmtId="4" fontId="2" fillId="0" borderId="37" xfId="0" applyNumberFormat="1" applyFont="1" applyBorder="1" applyAlignment="1">
      <alignment vertical="top" wrapText="1"/>
    </xf>
    <xf numFmtId="0" fontId="7" fillId="0" borderId="37" xfId="0" applyFont="1" applyBorder="1" applyAlignment="1">
      <alignment horizontal="center" vertical="top"/>
    </xf>
    <xf numFmtId="0" fontId="7" fillId="0" borderId="35" xfId="0" applyFont="1" applyBorder="1" applyAlignment="1">
      <alignment wrapText="1"/>
    </xf>
    <xf numFmtId="167" fontId="2" fillId="0" borderId="35" xfId="0" applyNumberFormat="1" applyFont="1" applyFill="1" applyBorder="1" applyAlignment="1">
      <alignment horizontal="right" wrapText="1"/>
    </xf>
    <xf numFmtId="0" fontId="1" fillId="0" borderId="35" xfId="0" applyFont="1" applyFill="1" applyBorder="1" applyAlignment="1">
      <alignment horizontal="right"/>
    </xf>
    <xf numFmtId="165" fontId="7" fillId="0" borderId="35" xfId="0" applyNumberFormat="1" applyFont="1" applyFill="1" applyBorder="1" applyAlignment="1">
      <alignment horizontal="right"/>
    </xf>
    <xf numFmtId="166" fontId="7" fillId="0" borderId="35" xfId="0" applyNumberFormat="1" applyFont="1" applyFill="1" applyBorder="1" applyAlignment="1">
      <alignment horizontal="right"/>
    </xf>
    <xf numFmtId="4" fontId="7" fillId="0" borderId="35" xfId="23" applyNumberFormat="1" applyFont="1" applyFill="1" applyBorder="1" applyAlignment="1">
      <alignment horizontal="right"/>
    </xf>
    <xf numFmtId="2" fontId="7" fillId="16" borderId="35" xfId="0" applyNumberFormat="1" applyFont="1" applyFill="1" applyBorder="1"/>
    <xf numFmtId="0" fontId="7" fillId="0" borderId="35" xfId="0" applyFont="1" applyBorder="1" applyAlignment="1">
      <alignment horizontal="center" wrapText="1"/>
    </xf>
    <xf numFmtId="0" fontId="5" fillId="0" borderId="35" xfId="0" applyFont="1" applyBorder="1" applyAlignment="1">
      <alignment vertical="top" wrapText="1"/>
    </xf>
    <xf numFmtId="0" fontId="1" fillId="0" borderId="35" xfId="0" applyFont="1" applyFill="1" applyBorder="1" applyAlignment="1">
      <alignment horizontal="right" vertical="top"/>
    </xf>
    <xf numFmtId="165" fontId="7" fillId="0" borderId="35" xfId="0" applyNumberFormat="1" applyFont="1" applyFill="1" applyBorder="1" applyAlignment="1">
      <alignment horizontal="right" vertical="top"/>
    </xf>
    <xf numFmtId="166" fontId="7" fillId="0" borderId="35" xfId="0" applyNumberFormat="1" applyFont="1" applyFill="1" applyBorder="1" applyAlignment="1">
      <alignment horizontal="right" vertical="top"/>
    </xf>
    <xf numFmtId="4" fontId="5" fillId="0" borderId="35" xfId="23" applyNumberFormat="1" applyFont="1" applyFill="1" applyBorder="1" applyAlignment="1">
      <alignment horizontal="right" vertical="top" wrapText="1"/>
    </xf>
    <xf numFmtId="2" fontId="8" fillId="0" borderId="35" xfId="0" applyNumberFormat="1" applyFont="1" applyBorder="1" applyAlignment="1">
      <alignment vertical="top"/>
    </xf>
    <xf numFmtId="167" fontId="7" fillId="16" borderId="35" xfId="0" applyNumberFormat="1" applyFont="1" applyFill="1" applyBorder="1" applyAlignment="1">
      <alignment vertical="top"/>
    </xf>
    <xf numFmtId="0" fontId="16" fillId="2" borderId="35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top"/>
    </xf>
    <xf numFmtId="0" fontId="8" fillId="3" borderId="35" xfId="0" applyFont="1" applyFill="1" applyBorder="1" applyAlignment="1">
      <alignment vertical="top" wrapText="1"/>
    </xf>
    <xf numFmtId="43" fontId="7" fillId="0" borderId="35" xfId="0" applyNumberFormat="1" applyFont="1" applyFill="1" applyBorder="1" applyAlignment="1">
      <alignment horizontal="right" vertical="top"/>
    </xf>
    <xf numFmtId="0" fontId="7" fillId="0" borderId="35" xfId="0" applyFont="1" applyFill="1" applyBorder="1" applyAlignment="1">
      <alignment horizontal="right" vertical="top"/>
    </xf>
    <xf numFmtId="167" fontId="8" fillId="0" borderId="35" xfId="0" applyNumberFormat="1" applyFont="1" applyFill="1" applyBorder="1" applyAlignment="1">
      <alignment horizontal="right" vertical="top"/>
    </xf>
    <xf numFmtId="0" fontId="8" fillId="0" borderId="35" xfId="0" applyFont="1" applyFill="1" applyBorder="1" applyAlignment="1">
      <alignment horizontal="right" vertical="top"/>
    </xf>
    <xf numFmtId="4" fontId="8" fillId="0" borderId="35" xfId="0" applyNumberFormat="1" applyFont="1" applyFill="1" applyBorder="1" applyAlignment="1">
      <alignment horizontal="right" vertical="top"/>
    </xf>
    <xf numFmtId="2" fontId="8" fillId="3" borderId="35" xfId="0" applyNumberFormat="1" applyFont="1" applyFill="1" applyBorder="1" applyAlignment="1">
      <alignment vertical="top"/>
    </xf>
    <xf numFmtId="4" fontId="11" fillId="3" borderId="35" xfId="0" applyNumberFormat="1" applyFont="1" applyFill="1" applyBorder="1"/>
    <xf numFmtId="0" fontId="18" fillId="2" borderId="35" xfId="0" applyFont="1" applyFill="1" applyBorder="1" applyAlignment="1">
      <alignment horizontal="center" vertical="center" wrapText="1"/>
    </xf>
    <xf numFmtId="0" fontId="7" fillId="4" borderId="35" xfId="0" applyFont="1" applyFill="1" applyBorder="1" applyAlignment="1">
      <alignment horizontal="center"/>
    </xf>
    <xf numFmtId="0" fontId="8" fillId="3" borderId="35" xfId="0" applyFont="1" applyFill="1" applyBorder="1" applyAlignment="1">
      <alignment wrapText="1"/>
    </xf>
    <xf numFmtId="0" fontId="2" fillId="0" borderId="35" xfId="0" applyFont="1" applyFill="1" applyBorder="1" applyAlignment="1">
      <alignment horizontal="right" vertical="center" wrapText="1"/>
    </xf>
    <xf numFmtId="0" fontId="7" fillId="0" borderId="35" xfId="0" applyFont="1" applyFill="1" applyBorder="1"/>
    <xf numFmtId="169" fontId="8" fillId="0" borderId="35" xfId="0" applyNumberFormat="1" applyFont="1" applyFill="1" applyBorder="1"/>
    <xf numFmtId="0" fontId="8" fillId="0" borderId="35" xfId="0" applyFont="1" applyFill="1" applyBorder="1"/>
    <xf numFmtId="4" fontId="8" fillId="0" borderId="35" xfId="0" applyNumberFormat="1" applyFont="1" applyFill="1" applyBorder="1"/>
    <xf numFmtId="167" fontId="8" fillId="3" borderId="35" xfId="0" applyNumberFormat="1" applyFont="1" applyFill="1" applyBorder="1"/>
    <xf numFmtId="0" fontId="7" fillId="0" borderId="35" xfId="0" applyFont="1" applyFill="1" applyBorder="1" applyAlignment="1">
      <alignment horizontal="right" vertical="center"/>
    </xf>
    <xf numFmtId="2" fontId="11" fillId="3" borderId="35" xfId="0" applyNumberFormat="1" applyFont="1" applyFill="1" applyBorder="1"/>
    <xf numFmtId="0" fontId="8" fillId="3" borderId="35" xfId="0" applyFont="1" applyFill="1" applyBorder="1" applyAlignment="1">
      <alignment horizontal="justify" vertical="top" wrapText="1"/>
    </xf>
    <xf numFmtId="43" fontId="1" fillId="0" borderId="35" xfId="0" applyNumberFormat="1" applyFont="1" applyFill="1" applyBorder="1" applyAlignment="1">
      <alignment horizontal="right" vertical="top"/>
    </xf>
    <xf numFmtId="168" fontId="8" fillId="0" borderId="35" xfId="0" applyNumberFormat="1" applyFont="1" applyFill="1" applyBorder="1" applyAlignment="1">
      <alignment horizontal="right" vertical="top"/>
    </xf>
    <xf numFmtId="0" fontId="10" fillId="2" borderId="35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wrapText="1"/>
    </xf>
    <xf numFmtId="0" fontId="7" fillId="3" borderId="35" xfId="0" applyFont="1" applyFill="1" applyBorder="1"/>
    <xf numFmtId="0" fontId="2" fillId="0" borderId="35" xfId="0" applyFont="1" applyFill="1" applyBorder="1" applyAlignment="1">
      <alignment vertical="center" wrapText="1"/>
    </xf>
    <xf numFmtId="0" fontId="1" fillId="0" borderId="35" xfId="0" applyFont="1" applyFill="1" applyBorder="1"/>
    <xf numFmtId="165" fontId="7" fillId="0" borderId="35" xfId="0" applyNumberFormat="1" applyFont="1" applyFill="1" applyBorder="1"/>
    <xf numFmtId="167" fontId="7" fillId="0" borderId="35" xfId="0" applyNumberFormat="1" applyFont="1" applyFill="1" applyBorder="1"/>
    <xf numFmtId="4" fontId="2" fillId="0" borderId="35" xfId="0" applyNumberFormat="1" applyFont="1" applyFill="1" applyBorder="1" applyAlignment="1">
      <alignment wrapText="1"/>
    </xf>
    <xf numFmtId="2" fontId="7" fillId="3" borderId="35" xfId="0" applyNumberFormat="1" applyFont="1" applyFill="1" applyBorder="1"/>
    <xf numFmtId="2" fontId="12" fillId="3" borderId="35" xfId="0" applyNumberFormat="1" applyFont="1" applyFill="1" applyBorder="1" applyAlignment="1"/>
    <xf numFmtId="0" fontId="7" fillId="0" borderId="35" xfId="0" applyFont="1" applyFill="1" applyBorder="1" applyAlignment="1">
      <alignment horizontal="left" vertical="top" wrapText="1"/>
    </xf>
    <xf numFmtId="0" fontId="2" fillId="0" borderId="35" xfId="0" applyFont="1" applyFill="1" applyBorder="1" applyAlignment="1">
      <alignment horizontal="center" vertical="top" wrapText="1"/>
    </xf>
    <xf numFmtId="4" fontId="2" fillId="0" borderId="35" xfId="23" applyNumberFormat="1" applyFont="1" applyFill="1" applyBorder="1" applyAlignment="1">
      <alignment horizontal="right" vertical="top" wrapText="1"/>
    </xf>
    <xf numFmtId="0" fontId="7" fillId="3" borderId="35" xfId="0" applyFont="1" applyFill="1" applyBorder="1" applyAlignment="1">
      <alignment wrapText="1"/>
    </xf>
    <xf numFmtId="0" fontId="7" fillId="0" borderId="35" xfId="0" applyFont="1" applyFill="1" applyBorder="1" applyAlignment="1">
      <alignment wrapText="1"/>
    </xf>
    <xf numFmtId="0" fontId="2" fillId="0" borderId="35" xfId="0" applyFont="1" applyFill="1" applyBorder="1" applyAlignment="1">
      <alignment horizontal="center" vertical="center" wrapText="1"/>
    </xf>
    <xf numFmtId="166" fontId="7" fillId="0" borderId="35" xfId="0" applyNumberFormat="1" applyFont="1" applyFill="1" applyBorder="1"/>
    <xf numFmtId="0" fontId="7" fillId="0" borderId="35" xfId="0" applyFont="1" applyFill="1" applyBorder="1" applyAlignment="1">
      <alignment horizontal="center"/>
    </xf>
    <xf numFmtId="0" fontId="2" fillId="0" borderId="35" xfId="0" applyFont="1" applyFill="1" applyBorder="1" applyAlignment="1">
      <alignment horizontal="center" wrapText="1"/>
    </xf>
    <xf numFmtId="0" fontId="1" fillId="0" borderId="35" xfId="0" applyFont="1" applyFill="1" applyBorder="1" applyAlignment="1">
      <alignment wrapText="1"/>
    </xf>
    <xf numFmtId="165" fontId="7" fillId="0" borderId="35" xfId="0" applyNumberFormat="1" applyFont="1" applyFill="1" applyBorder="1" applyAlignment="1">
      <alignment wrapText="1"/>
    </xf>
    <xf numFmtId="166" fontId="7" fillId="0" borderId="35" xfId="0" applyNumberFormat="1" applyFont="1" applyFill="1" applyBorder="1" applyAlignment="1">
      <alignment wrapText="1"/>
    </xf>
    <xf numFmtId="4" fontId="2" fillId="0" borderId="35" xfId="0" applyNumberFormat="1" applyFont="1" applyBorder="1" applyAlignment="1">
      <alignment vertical="center" wrapText="1"/>
    </xf>
    <xf numFmtId="0" fontId="2" fillId="0" borderId="35" xfId="0" applyFont="1" applyBorder="1" applyAlignment="1">
      <alignment horizontal="center" vertical="center" wrapText="1"/>
    </xf>
    <xf numFmtId="2" fontId="7" fillId="3" borderId="35" xfId="0" applyNumberFormat="1" applyFont="1" applyFill="1" applyBorder="1" applyAlignment="1">
      <alignment wrapText="1"/>
    </xf>
    <xf numFmtId="4" fontId="5" fillId="0" borderId="35" xfId="23" applyNumberFormat="1" applyFont="1" applyBorder="1" applyAlignment="1">
      <alignment horizontal="right" vertical="top" wrapText="1"/>
    </xf>
    <xf numFmtId="0" fontId="7" fillId="0" borderId="35" xfId="0" applyFont="1" applyBorder="1" applyAlignment="1">
      <alignment horizontal="right" vertical="top"/>
    </xf>
    <xf numFmtId="2" fontId="8" fillId="0" borderId="35" xfId="0" applyNumberFormat="1" applyFont="1" applyBorder="1" applyAlignment="1">
      <alignment horizontal="right" vertical="top"/>
    </xf>
    <xf numFmtId="167" fontId="7" fillId="3" borderId="35" xfId="0" applyNumberFormat="1" applyFont="1" applyFill="1" applyBorder="1" applyAlignment="1">
      <alignment vertical="top"/>
    </xf>
    <xf numFmtId="0" fontId="7" fillId="4" borderId="35" xfId="0" applyFont="1" applyFill="1" applyBorder="1" applyAlignment="1">
      <alignment horizontal="center" vertical="top"/>
    </xf>
    <xf numFmtId="0" fontId="7" fillId="0" borderId="35" xfId="0" applyFont="1" applyFill="1" applyBorder="1" applyAlignment="1">
      <alignment vertical="top"/>
    </xf>
    <xf numFmtId="169" fontId="8" fillId="0" borderId="35" xfId="0" applyNumberFormat="1" applyFont="1" applyFill="1" applyBorder="1" applyAlignment="1">
      <alignment vertical="top"/>
    </xf>
    <xf numFmtId="0" fontId="8" fillId="0" borderId="35" xfId="0" applyFont="1" applyFill="1" applyBorder="1" applyAlignment="1">
      <alignment vertical="top"/>
    </xf>
    <xf numFmtId="4" fontId="8" fillId="0" borderId="35" xfId="0" applyNumberFormat="1" applyFont="1" applyFill="1" applyBorder="1" applyAlignment="1">
      <alignment vertical="top"/>
    </xf>
    <xf numFmtId="167" fontId="8" fillId="3" borderId="35" xfId="0" applyNumberFormat="1" applyFont="1" applyFill="1" applyBorder="1" applyAlignment="1">
      <alignment vertical="top"/>
    </xf>
    <xf numFmtId="0" fontId="8" fillId="4" borderId="0" xfId="0" applyFont="1" applyFill="1" applyBorder="1" applyAlignment="1">
      <alignment horizontal="center" vertical="top" wrapText="1"/>
    </xf>
    <xf numFmtId="0" fontId="7" fillId="4" borderId="37" xfId="0" applyFont="1" applyFill="1" applyBorder="1" applyAlignment="1">
      <alignment horizontal="center" vertical="top"/>
    </xf>
    <xf numFmtId="169" fontId="8" fillId="0" borderId="37" xfId="0" applyNumberFormat="1" applyFont="1" applyFill="1" applyBorder="1" applyAlignment="1">
      <alignment horizontal="right" vertical="top"/>
    </xf>
    <xf numFmtId="167" fontId="8" fillId="16" borderId="37" xfId="0" applyNumberFormat="1" applyFont="1" applyFill="1" applyBorder="1" applyAlignment="1">
      <alignment vertical="top"/>
    </xf>
    <xf numFmtId="0" fontId="7" fillId="4" borderId="1" xfId="0" applyFont="1" applyFill="1" applyBorder="1" applyAlignment="1">
      <alignment horizontal="center" vertical="top"/>
    </xf>
    <xf numFmtId="0" fontId="7" fillId="0" borderId="23" xfId="0" applyFont="1" applyFill="1" applyBorder="1" applyAlignment="1">
      <alignment horizontal="right" vertical="top"/>
    </xf>
    <xf numFmtId="171" fontId="8" fillId="0" borderId="1" xfId="0" applyNumberFormat="1" applyFont="1" applyFill="1" applyBorder="1" applyAlignment="1">
      <alignment horizontal="right" vertical="top"/>
    </xf>
    <xf numFmtId="167" fontId="8" fillId="16" borderId="1" xfId="0" applyNumberFormat="1" applyFont="1" applyFill="1" applyBorder="1" applyAlignment="1">
      <alignment vertical="top"/>
    </xf>
    <xf numFmtId="4" fontId="17" fillId="7" borderId="0" xfId="0" applyNumberFormat="1" applyFont="1" applyFill="1" applyBorder="1" applyAlignment="1">
      <alignment vertical="top" wrapText="1"/>
    </xf>
    <xf numFmtId="181" fontId="8" fillId="0" borderId="0" xfId="0" applyNumberFormat="1" applyFont="1" applyAlignment="1">
      <alignment vertical="top"/>
    </xf>
    <xf numFmtId="0" fontId="8" fillId="0" borderId="23" xfId="0" applyFont="1" applyBorder="1" applyAlignment="1">
      <alignment horizontal="center" vertical="top" wrapText="1"/>
    </xf>
    <xf numFmtId="49" fontId="8" fillId="0" borderId="23" xfId="0" applyNumberFormat="1" applyFont="1" applyBorder="1" applyAlignment="1">
      <alignment horizontal="center" vertical="top" wrapText="1"/>
    </xf>
    <xf numFmtId="49" fontId="0" fillId="0" borderId="23" xfId="0" applyNumberFormat="1" applyBorder="1" applyAlignment="1">
      <alignment vertical="top" wrapText="1"/>
    </xf>
    <xf numFmtId="0" fontId="25" fillId="0" borderId="23" xfId="0" applyFont="1" applyBorder="1" applyAlignment="1">
      <alignment horizontal="left" wrapText="1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166" fontId="8" fillId="0" borderId="23" xfId="0" applyNumberFormat="1" applyFont="1" applyFill="1" applyBorder="1" applyAlignment="1">
      <alignment horizontal="right" wrapText="1"/>
    </xf>
    <xf numFmtId="0" fontId="8" fillId="0" borderId="0" xfId="0" applyFont="1" applyAlignment="1">
      <alignment vertical="center" wrapText="1"/>
    </xf>
    <xf numFmtId="0" fontId="0" fillId="0" borderId="0" xfId="0" applyAlignment="1"/>
    <xf numFmtId="0" fontId="24" fillId="0" borderId="0" xfId="0" applyFont="1" applyFill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16" fillId="0" borderId="14" xfId="0" applyFont="1" applyFill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6" fillId="2" borderId="23" xfId="0" applyFont="1" applyFill="1" applyBorder="1" applyAlignment="1">
      <alignment horizontal="center" vertical="center" wrapText="1"/>
    </xf>
    <xf numFmtId="0" fontId="11" fillId="0" borderId="23" xfId="0" applyFont="1" applyBorder="1" applyAlignment="1">
      <alignment horizontal="left"/>
    </xf>
    <xf numFmtId="0" fontId="12" fillId="4" borderId="23" xfId="0" applyFont="1" applyFill="1" applyBorder="1" applyAlignment="1">
      <alignment horizontal="right" vertical="center"/>
    </xf>
    <xf numFmtId="0" fontId="12" fillId="4" borderId="12" xfId="0" applyFont="1" applyFill="1" applyBorder="1" applyAlignment="1">
      <alignment horizontal="right" vertical="center"/>
    </xf>
    <xf numFmtId="0" fontId="12" fillId="4" borderId="5" xfId="0" applyFont="1" applyFill="1" applyBorder="1" applyAlignment="1">
      <alignment horizontal="right" vertical="center"/>
    </xf>
    <xf numFmtId="0" fontId="12" fillId="4" borderId="6" xfId="0" applyFont="1" applyFill="1" applyBorder="1" applyAlignment="1">
      <alignment horizontal="right" vertical="center"/>
    </xf>
    <xf numFmtId="16" fontId="25" fillId="0" borderId="23" xfId="0" applyNumberFormat="1" applyFont="1" applyFill="1" applyBorder="1" applyAlignment="1">
      <alignment horizontal="left" wrapText="1"/>
    </xf>
    <xf numFmtId="0" fontId="27" fillId="0" borderId="23" xfId="0" applyFont="1" applyBorder="1" applyAlignment="1">
      <alignment horizontal="left" wrapText="1"/>
    </xf>
    <xf numFmtId="0" fontId="18" fillId="2" borderId="23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right" wrapText="1"/>
    </xf>
    <xf numFmtId="0" fontId="0" fillId="0" borderId="23" xfId="0" applyFont="1" applyBorder="1" applyAlignment="1">
      <alignment horizontal="right"/>
    </xf>
    <xf numFmtId="0" fontId="8" fillId="4" borderId="2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23" xfId="0" applyFont="1" applyFill="1" applyBorder="1" applyAlignment="1">
      <alignment horizontal="center" wrapText="1"/>
    </xf>
    <xf numFmtId="0" fontId="11" fillId="4" borderId="23" xfId="0" applyFont="1" applyFill="1" applyBorder="1" applyAlignment="1">
      <alignment horizontal="right" vertical="center" wrapText="1"/>
    </xf>
    <xf numFmtId="0" fontId="12" fillId="4" borderId="2" xfId="0" applyFont="1" applyFill="1" applyBorder="1" applyAlignment="1">
      <alignment horizontal="right" vertical="center" wrapText="1"/>
    </xf>
    <xf numFmtId="0" fontId="12" fillId="4" borderId="3" xfId="0" applyFont="1" applyFill="1" applyBorder="1" applyAlignment="1">
      <alignment horizontal="right" vertical="center" wrapText="1"/>
    </xf>
    <xf numFmtId="0" fontId="12" fillId="4" borderId="4" xfId="0" applyFont="1" applyFill="1" applyBorder="1" applyAlignment="1">
      <alignment horizontal="right" vertical="center" wrapText="1"/>
    </xf>
    <xf numFmtId="0" fontId="8" fillId="0" borderId="23" xfId="0" applyFont="1" applyFill="1" applyBorder="1" applyAlignment="1">
      <alignment horizontal="right" vertical="center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166" fontId="5" fillId="0" borderId="23" xfId="0" applyNumberFormat="1" applyFont="1" applyFill="1" applyBorder="1" applyAlignment="1">
      <alignment horizontal="right" wrapText="1"/>
    </xf>
    <xf numFmtId="0" fontId="11" fillId="0" borderId="23" xfId="0" applyFont="1" applyFill="1" applyBorder="1" applyAlignment="1">
      <alignment horizontal="right" vertical="center"/>
    </xf>
    <xf numFmtId="0" fontId="12" fillId="0" borderId="2" xfId="0" applyFont="1" applyFill="1" applyBorder="1" applyAlignment="1">
      <alignment horizontal="right" vertical="center"/>
    </xf>
    <xf numFmtId="0" fontId="12" fillId="0" borderId="3" xfId="0" applyFont="1" applyFill="1" applyBorder="1" applyAlignment="1">
      <alignment horizontal="right" vertical="center"/>
    </xf>
    <xf numFmtId="0" fontId="12" fillId="0" borderId="4" xfId="0" applyFont="1" applyFill="1" applyBorder="1" applyAlignment="1">
      <alignment horizontal="right" vertical="center"/>
    </xf>
    <xf numFmtId="0" fontId="12" fillId="0" borderId="2" xfId="0" applyFont="1" applyBorder="1" applyAlignment="1">
      <alignment horizontal="left" wrapText="1"/>
    </xf>
    <xf numFmtId="0" fontId="12" fillId="0" borderId="3" xfId="0" applyFont="1" applyBorder="1" applyAlignment="1">
      <alignment horizontal="left" wrapText="1"/>
    </xf>
    <xf numFmtId="0" fontId="12" fillId="0" borderId="4" xfId="0" applyFont="1" applyBorder="1" applyAlignment="1">
      <alignment horizontal="left" wrapText="1"/>
    </xf>
    <xf numFmtId="0" fontId="11" fillId="0" borderId="23" xfId="0" applyFont="1" applyBorder="1" applyAlignment="1">
      <alignment horizontal="left" wrapText="1"/>
    </xf>
    <xf numFmtId="0" fontId="12" fillId="3" borderId="23" xfId="0" applyFont="1" applyFill="1" applyBorder="1" applyAlignment="1">
      <alignment horizontal="right" vertical="center"/>
    </xf>
    <xf numFmtId="0" fontId="12" fillId="3" borderId="2" xfId="0" applyFont="1" applyFill="1" applyBorder="1" applyAlignment="1">
      <alignment horizontal="right" vertical="center"/>
    </xf>
    <xf numFmtId="0" fontId="12" fillId="3" borderId="3" xfId="0" applyFont="1" applyFill="1" applyBorder="1" applyAlignment="1">
      <alignment horizontal="right" vertical="center"/>
    </xf>
    <xf numFmtId="0" fontId="12" fillId="3" borderId="4" xfId="0" applyFont="1" applyFill="1" applyBorder="1" applyAlignment="1">
      <alignment horizontal="right" vertical="center"/>
    </xf>
    <xf numFmtId="0" fontId="12" fillId="0" borderId="23" xfId="0" applyFont="1" applyBorder="1" applyAlignment="1">
      <alignment horizontal="left" wrapText="1"/>
    </xf>
    <xf numFmtId="0" fontId="25" fillId="0" borderId="2" xfId="0" applyFont="1" applyBorder="1" applyAlignment="1">
      <alignment horizontal="left" wrapText="1"/>
    </xf>
    <xf numFmtId="0" fontId="25" fillId="0" borderId="3" xfId="0" applyFont="1" applyBorder="1" applyAlignment="1">
      <alignment horizontal="left" wrapText="1"/>
    </xf>
    <xf numFmtId="0" fontId="25" fillId="0" borderId="4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12" fillId="0" borderId="6" xfId="0" applyFont="1" applyBorder="1" applyAlignment="1">
      <alignment horizontal="left" wrapText="1"/>
    </xf>
    <xf numFmtId="0" fontId="12" fillId="0" borderId="23" xfId="0" applyFont="1" applyFill="1" applyBorder="1" applyAlignment="1">
      <alignment horizontal="right" vertical="center"/>
    </xf>
    <xf numFmtId="0" fontId="25" fillId="0" borderId="23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2" xfId="0" applyFont="1" applyFill="1" applyBorder="1" applyAlignment="1">
      <alignment horizontal="right" wrapText="1"/>
    </xf>
    <xf numFmtId="0" fontId="8" fillId="0" borderId="4" xfId="0" applyFont="1" applyFill="1" applyBorder="1" applyAlignment="1">
      <alignment horizontal="right" wrapText="1"/>
    </xf>
    <xf numFmtId="0" fontId="8" fillId="0" borderId="2" xfId="0" applyFont="1" applyFill="1" applyBorder="1" applyAlignment="1">
      <alignment horizontal="right" vertical="top" wrapText="1"/>
    </xf>
    <xf numFmtId="0" fontId="8" fillId="0" borderId="4" xfId="0" applyFont="1" applyFill="1" applyBorder="1" applyAlignment="1">
      <alignment horizontal="right" vertical="top" wrapText="1"/>
    </xf>
    <xf numFmtId="4" fontId="11" fillId="16" borderId="23" xfId="0" applyNumberFormat="1" applyFont="1" applyFill="1" applyBorder="1" applyAlignment="1">
      <alignment horizontal="right" vertical="center"/>
    </xf>
    <xf numFmtId="0" fontId="12" fillId="0" borderId="23" xfId="0" applyFont="1" applyFill="1" applyBorder="1" applyAlignment="1">
      <alignment horizontal="center"/>
    </xf>
    <xf numFmtId="0" fontId="11" fillId="0" borderId="32" xfId="0" applyFont="1" applyBorder="1" applyAlignment="1">
      <alignment horizontal="left"/>
    </xf>
    <xf numFmtId="0" fontId="11" fillId="16" borderId="23" xfId="0" applyFont="1" applyFill="1" applyBorder="1" applyAlignment="1">
      <alignment horizontal="right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 wrapText="1"/>
    </xf>
    <xf numFmtId="4" fontId="12" fillId="3" borderId="31" xfId="0" applyNumberFormat="1" applyFont="1" applyFill="1" applyBorder="1" applyAlignment="1">
      <alignment horizontal="right" vertical="center"/>
    </xf>
    <xf numFmtId="4" fontId="12" fillId="3" borderId="33" xfId="0" applyNumberFormat="1" applyFont="1" applyFill="1" applyBorder="1" applyAlignment="1">
      <alignment horizontal="right" vertical="center"/>
    </xf>
    <xf numFmtId="4" fontId="12" fillId="3" borderId="34" xfId="0" applyNumberFormat="1" applyFont="1" applyFill="1" applyBorder="1" applyAlignment="1">
      <alignment horizontal="right" vertical="center"/>
    </xf>
    <xf numFmtId="0" fontId="11" fillId="0" borderId="31" xfId="0" applyFont="1" applyBorder="1" applyAlignment="1">
      <alignment horizontal="left"/>
    </xf>
    <xf numFmtId="0" fontId="11" fillId="0" borderId="33" xfId="0" applyFont="1" applyBorder="1" applyAlignment="1">
      <alignment horizontal="left"/>
    </xf>
    <xf numFmtId="0" fontId="11" fillId="0" borderId="34" xfId="0" applyFont="1" applyBorder="1" applyAlignment="1">
      <alignment horizontal="left"/>
    </xf>
    <xf numFmtId="43" fontId="8" fillId="0" borderId="2" xfId="0" applyNumberFormat="1" applyFont="1" applyFill="1" applyBorder="1" applyAlignment="1">
      <alignment horizontal="right" vertical="top" wrapText="1"/>
    </xf>
    <xf numFmtId="0" fontId="33" fillId="0" borderId="0" xfId="0" applyFont="1" applyFill="1" applyAlignment="1">
      <alignment horizontal="left"/>
    </xf>
    <xf numFmtId="0" fontId="11" fillId="0" borderId="23" xfId="0" applyFont="1" applyBorder="1" applyAlignment="1">
      <alignment horizontal="center"/>
    </xf>
    <xf numFmtId="0" fontId="16" fillId="2" borderId="31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horizontal="center" vertical="center" wrapText="1"/>
    </xf>
    <xf numFmtId="43" fontId="8" fillId="0" borderId="31" xfId="0" applyNumberFormat="1" applyFont="1" applyFill="1" applyBorder="1" applyAlignment="1">
      <alignment horizontal="right" vertical="top" wrapText="1"/>
    </xf>
    <xf numFmtId="0" fontId="8" fillId="0" borderId="34" xfId="0" applyFont="1" applyFill="1" applyBorder="1" applyAlignment="1">
      <alignment horizontal="right" vertical="top" wrapText="1"/>
    </xf>
    <xf numFmtId="0" fontId="8" fillId="0" borderId="31" xfId="0" applyFont="1" applyFill="1" applyBorder="1" applyAlignment="1">
      <alignment horizontal="right" vertical="top" wrapText="1"/>
    </xf>
    <xf numFmtId="0" fontId="18" fillId="2" borderId="31" xfId="0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top" wrapText="1"/>
    </xf>
    <xf numFmtId="0" fontId="8" fillId="0" borderId="34" xfId="0" applyFont="1" applyFill="1" applyBorder="1" applyAlignment="1">
      <alignment horizontal="center" vertical="top" wrapText="1"/>
    </xf>
    <xf numFmtId="0" fontId="8" fillId="0" borderId="31" xfId="0" applyFont="1" applyFill="1" applyBorder="1" applyAlignment="1">
      <alignment horizontal="center" wrapText="1"/>
    </xf>
    <xf numFmtId="0" fontId="8" fillId="0" borderId="34" xfId="0" applyFont="1" applyFill="1" applyBorder="1" applyAlignment="1">
      <alignment horizontal="center" wrapText="1"/>
    </xf>
    <xf numFmtId="0" fontId="12" fillId="3" borderId="31" xfId="0" applyFont="1" applyFill="1" applyBorder="1" applyAlignment="1">
      <alignment horizontal="right" vertical="center" wrapText="1"/>
    </xf>
    <xf numFmtId="0" fontId="12" fillId="3" borderId="33" xfId="0" applyFont="1" applyFill="1" applyBorder="1" applyAlignment="1">
      <alignment horizontal="right" vertical="center" wrapText="1"/>
    </xf>
    <xf numFmtId="0" fontId="12" fillId="3" borderId="34" xfId="0" applyFont="1" applyFill="1" applyBorder="1" applyAlignment="1">
      <alignment horizontal="right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12" fillId="3" borderId="31" xfId="0" applyFont="1" applyFill="1" applyBorder="1" applyAlignment="1">
      <alignment horizontal="right" vertical="center"/>
    </xf>
    <xf numFmtId="0" fontId="12" fillId="3" borderId="33" xfId="0" applyFont="1" applyFill="1" applyBorder="1" applyAlignment="1">
      <alignment horizontal="right" vertical="center"/>
    </xf>
    <xf numFmtId="0" fontId="12" fillId="3" borderId="34" xfId="0" applyFont="1" applyFill="1" applyBorder="1" applyAlignment="1">
      <alignment horizontal="right" vertical="center"/>
    </xf>
    <xf numFmtId="0" fontId="21" fillId="0" borderId="31" xfId="0" applyFont="1" applyBorder="1" applyAlignment="1">
      <alignment horizontal="right" vertical="center" wrapText="1"/>
    </xf>
    <xf numFmtId="0" fontId="21" fillId="0" borderId="33" xfId="0" applyFont="1" applyBorder="1" applyAlignment="1">
      <alignment horizontal="right" vertical="center" wrapText="1"/>
    </xf>
    <xf numFmtId="0" fontId="21" fillId="0" borderId="34" xfId="0" applyFont="1" applyBorder="1" applyAlignment="1">
      <alignment horizontal="right" vertical="center" wrapText="1"/>
    </xf>
    <xf numFmtId="0" fontId="12" fillId="3" borderId="35" xfId="0" applyFont="1" applyFill="1" applyBorder="1" applyAlignment="1">
      <alignment horizontal="right" vertical="center"/>
    </xf>
    <xf numFmtId="0" fontId="12" fillId="0" borderId="18" xfId="0" applyFont="1" applyBorder="1" applyAlignment="1">
      <alignment horizontal="left" wrapText="1"/>
    </xf>
    <xf numFmtId="0" fontId="12" fillId="0" borderId="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31" xfId="0" applyFont="1" applyBorder="1" applyAlignment="1">
      <alignment horizontal="left" wrapText="1"/>
    </xf>
    <xf numFmtId="0" fontId="12" fillId="0" borderId="33" xfId="0" applyFont="1" applyBorder="1" applyAlignment="1">
      <alignment horizontal="left" wrapText="1"/>
    </xf>
    <xf numFmtId="0" fontId="12" fillId="0" borderId="34" xfId="0" applyFont="1" applyBorder="1" applyAlignment="1">
      <alignment horizontal="left" wrapText="1"/>
    </xf>
    <xf numFmtId="0" fontId="21" fillId="0" borderId="35" xfId="0" applyFont="1" applyFill="1" applyBorder="1" applyAlignment="1">
      <alignment horizontal="center" vertical="center" wrapText="1"/>
    </xf>
    <xf numFmtId="0" fontId="7" fillId="0" borderId="3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8" fillId="0" borderId="31" xfId="0" applyFont="1" applyFill="1" applyBorder="1" applyAlignment="1">
      <alignment horizontal="right" wrapText="1"/>
    </xf>
    <xf numFmtId="0" fontId="8" fillId="0" borderId="34" xfId="0" applyFont="1" applyFill="1" applyBorder="1" applyAlignment="1">
      <alignment horizontal="right" wrapText="1"/>
    </xf>
    <xf numFmtId="0" fontId="12" fillId="16" borderId="37" xfId="0" applyFont="1" applyFill="1" applyBorder="1" applyAlignment="1">
      <alignment horizontal="right" vertical="center"/>
    </xf>
    <xf numFmtId="0" fontId="12" fillId="16" borderId="31" xfId="0" applyFont="1" applyFill="1" applyBorder="1" applyAlignment="1">
      <alignment horizontal="right" vertical="center"/>
    </xf>
    <xf numFmtId="0" fontId="12" fillId="16" borderId="33" xfId="0" applyFont="1" applyFill="1" applyBorder="1" applyAlignment="1">
      <alignment horizontal="right" vertical="center"/>
    </xf>
    <xf numFmtId="0" fontId="12" fillId="16" borderId="34" xfId="0" applyFont="1" applyFill="1" applyBorder="1" applyAlignment="1">
      <alignment horizontal="right" vertical="center"/>
    </xf>
    <xf numFmtId="0" fontId="12" fillId="16" borderId="31" xfId="0" applyFont="1" applyFill="1" applyBorder="1" applyAlignment="1">
      <alignment horizontal="right" vertical="center" wrapText="1"/>
    </xf>
    <xf numFmtId="0" fontId="12" fillId="16" borderId="33" xfId="0" applyFont="1" applyFill="1" applyBorder="1" applyAlignment="1">
      <alignment horizontal="right" vertical="center" wrapText="1"/>
    </xf>
    <xf numFmtId="0" fontId="12" fillId="16" borderId="34" xfId="0" applyFont="1" applyFill="1" applyBorder="1" applyAlignment="1">
      <alignment horizontal="right" vertical="center" wrapText="1"/>
    </xf>
    <xf numFmtId="0" fontId="21" fillId="0" borderId="37" xfId="0" applyFont="1" applyFill="1" applyBorder="1" applyAlignment="1">
      <alignment horizontal="center" vertical="center" wrapText="1"/>
    </xf>
    <xf numFmtId="0" fontId="7" fillId="0" borderId="35" xfId="0" applyFont="1" applyBorder="1" applyAlignment="1">
      <alignment horizontal="center"/>
    </xf>
    <xf numFmtId="0" fontId="7" fillId="0" borderId="32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2" fillId="0" borderId="31" xfId="0" applyFont="1" applyFill="1" applyBorder="1" applyAlignment="1">
      <alignment horizontal="center"/>
    </xf>
    <xf numFmtId="0" fontId="12" fillId="0" borderId="33" xfId="0" applyFont="1" applyFill="1" applyBorder="1" applyAlignment="1">
      <alignment horizontal="center"/>
    </xf>
    <xf numFmtId="0" fontId="12" fillId="0" borderId="34" xfId="0" applyFont="1" applyFill="1" applyBorder="1" applyAlignment="1">
      <alignment horizontal="center"/>
    </xf>
    <xf numFmtId="0" fontId="12" fillId="0" borderId="31" xfId="0" applyFont="1" applyFill="1" applyBorder="1" applyAlignment="1">
      <alignment horizontal="center" vertical="center" wrapText="1"/>
    </xf>
    <xf numFmtId="0" fontId="12" fillId="0" borderId="33" xfId="0" applyFont="1" applyFill="1" applyBorder="1" applyAlignment="1">
      <alignment horizontal="center" vertical="center" wrapText="1"/>
    </xf>
    <xf numFmtId="0" fontId="12" fillId="0" borderId="34" xfId="0" applyFont="1" applyFill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37" xfId="0" applyFont="1" applyBorder="1" applyAlignment="1">
      <alignment horizontal="center"/>
    </xf>
    <xf numFmtId="0" fontId="12" fillId="0" borderId="35" xfId="0" applyFont="1" applyFill="1" applyBorder="1" applyAlignment="1">
      <alignment horizontal="center"/>
    </xf>
    <xf numFmtId="4" fontId="12" fillId="16" borderId="31" xfId="0" applyNumberFormat="1" applyFont="1" applyFill="1" applyBorder="1" applyAlignment="1">
      <alignment horizontal="right" vertical="center"/>
    </xf>
    <xf numFmtId="4" fontId="12" fillId="16" borderId="33" xfId="0" applyNumberFormat="1" applyFont="1" applyFill="1" applyBorder="1" applyAlignment="1">
      <alignment horizontal="right" vertical="center"/>
    </xf>
    <xf numFmtId="4" fontId="12" fillId="16" borderId="34" xfId="0" applyNumberFormat="1" applyFont="1" applyFill="1" applyBorder="1" applyAlignment="1">
      <alignment horizontal="right" vertical="center"/>
    </xf>
    <xf numFmtId="0" fontId="21" fillId="0" borderId="2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wrapText="1"/>
    </xf>
    <xf numFmtId="0" fontId="12" fillId="0" borderId="6" xfId="0" applyFont="1" applyFill="1" applyBorder="1" applyAlignment="1">
      <alignment horizontal="left" wrapText="1"/>
    </xf>
    <xf numFmtId="0" fontId="11" fillId="16" borderId="23" xfId="0" applyFont="1" applyFill="1" applyBorder="1" applyAlignment="1">
      <alignment horizontal="right" vertical="center"/>
    </xf>
    <xf numFmtId="0" fontId="21" fillId="0" borderId="2" xfId="0" applyFont="1" applyBorder="1" applyAlignment="1">
      <alignment horizontal="right" vertical="center" wrapText="1"/>
    </xf>
    <xf numFmtId="0" fontId="21" fillId="0" borderId="3" xfId="0" applyFont="1" applyBorder="1" applyAlignment="1">
      <alignment horizontal="right" vertical="center" wrapText="1"/>
    </xf>
    <xf numFmtId="0" fontId="8" fillId="0" borderId="32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43" fontId="7" fillId="0" borderId="23" xfId="0" applyNumberFormat="1" applyFont="1" applyFill="1" applyBorder="1" applyAlignment="1">
      <alignment horizontal="center"/>
    </xf>
    <xf numFmtId="43" fontId="7" fillId="0" borderId="35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left" wrapText="1"/>
    </xf>
    <xf numFmtId="0" fontId="11" fillId="0" borderId="5" xfId="0" applyFont="1" applyFill="1" applyBorder="1" applyAlignment="1">
      <alignment horizontal="left" wrapText="1"/>
    </xf>
    <xf numFmtId="0" fontId="11" fillId="0" borderId="3" xfId="0" applyFont="1" applyFill="1" applyBorder="1" applyAlignment="1">
      <alignment horizontal="left" wrapText="1"/>
    </xf>
    <xf numFmtId="0" fontId="11" fillId="0" borderId="4" xfId="0" applyFont="1" applyFill="1" applyBorder="1" applyAlignment="1">
      <alignment horizontal="left" wrapText="1"/>
    </xf>
    <xf numFmtId="4" fontId="11" fillId="16" borderId="35" xfId="0" applyNumberFormat="1" applyFont="1" applyFill="1" applyBorder="1" applyAlignment="1">
      <alignment horizontal="right" vertical="center"/>
    </xf>
    <xf numFmtId="177" fontId="22" fillId="18" borderId="23" xfId="0" applyNumberFormat="1" applyFont="1" applyFill="1" applyBorder="1" applyAlignment="1">
      <alignment vertical="center" wrapText="1"/>
    </xf>
    <xf numFmtId="0" fontId="10" fillId="0" borderId="31" xfId="0" applyFont="1" applyBorder="1" applyAlignment="1">
      <alignment horizontal="center" wrapText="1"/>
    </xf>
    <xf numFmtId="0" fontId="10" fillId="0" borderId="33" xfId="0" applyFont="1" applyBorder="1" applyAlignment="1">
      <alignment horizontal="center" wrapText="1"/>
    </xf>
    <xf numFmtId="0" fontId="10" fillId="0" borderId="34" xfId="0" applyFont="1" applyBorder="1" applyAlignment="1">
      <alignment horizontal="center" wrapText="1"/>
    </xf>
    <xf numFmtId="0" fontId="39" fillId="0" borderId="20" xfId="0" applyFont="1" applyBorder="1" applyAlignment="1">
      <alignment horizontal="center" wrapText="1"/>
    </xf>
    <xf numFmtId="0" fontId="7" fillId="18" borderId="1" xfId="0" applyFont="1" applyFill="1" applyBorder="1" applyAlignment="1">
      <alignment horizontal="center" vertical="center" wrapText="1"/>
    </xf>
    <xf numFmtId="177" fontId="7" fillId="18" borderId="1" xfId="0" applyNumberFormat="1" applyFont="1" applyFill="1" applyBorder="1" applyAlignment="1">
      <alignment horizontal="center" vertical="center" wrapText="1"/>
    </xf>
    <xf numFmtId="0" fontId="22" fillId="18" borderId="23" xfId="0" applyFont="1" applyFill="1" applyBorder="1" applyAlignment="1">
      <alignment horizontal="center" vertical="center" wrapText="1"/>
    </xf>
    <xf numFmtId="177" fontId="22" fillId="18" borderId="2" xfId="0" applyNumberFormat="1" applyFont="1" applyFill="1" applyBorder="1" applyAlignment="1">
      <alignment vertical="center" wrapText="1"/>
    </xf>
    <xf numFmtId="177" fontId="22" fillId="18" borderId="2" xfId="0" applyNumberFormat="1" applyFont="1" applyFill="1" applyBorder="1" applyAlignment="1"/>
    <xf numFmtId="177" fontId="7" fillId="0" borderId="2" xfId="0" applyNumberFormat="1" applyFont="1" applyBorder="1" applyAlignment="1">
      <alignment vertical="top" wrapText="1"/>
    </xf>
    <xf numFmtId="177" fontId="10" fillId="0" borderId="2" xfId="0" applyNumberFormat="1" applyFont="1" applyBorder="1" applyAlignment="1">
      <alignment wrapText="1"/>
    </xf>
    <xf numFmtId="4" fontId="1" fillId="0" borderId="37" xfId="0" applyNumberFormat="1" applyFont="1" applyBorder="1"/>
    <xf numFmtId="4" fontId="7" fillId="0" borderId="37" xfId="0" applyNumberFormat="1" applyFont="1" applyBorder="1" applyAlignment="1">
      <alignment horizontal="left" wrapText="1"/>
    </xf>
  </cellXfs>
  <cellStyles count="25"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Обычный" xfId="0" builtinId="0"/>
    <cellStyle name="Обычный 2" xfId="24"/>
    <cellStyle name="Обычный 3" xfId="1"/>
    <cellStyle name="Обычный 4" xfId="2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Финансовый" xfId="2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85;&#1086;&#1088;&#1084;&#1072;&#1090;\&#1053;&#1086;&#1074;&#1072;&#1103;%20&#1087;&#1072;&#1087;&#1082;&#1072;\&#1044;&#1057;%201%20&#1087;&#1086;%20&#1074;&#1086;&#1079;&#1088;&#1072;&#1089;&#1090;&#1072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Н 3-8 доу"/>
      <sheetName val="расчет свод"/>
      <sheetName val="ИТОГО БНЗ"/>
    </sheetNames>
    <sheetDataSet>
      <sheetData sheetId="0"/>
      <sheetData sheetId="1">
        <row r="8">
          <cell r="N8" t="str">
            <v>Старший воспитатель</v>
          </cell>
        </row>
        <row r="9">
          <cell r="N9" t="str">
            <v>Воспитатель</v>
          </cell>
        </row>
        <row r="10">
          <cell r="N10" t="str">
            <v>Музыкальный руководитель</v>
          </cell>
        </row>
        <row r="12">
          <cell r="N12" t="str">
            <v>Учитель-логопед</v>
          </cell>
        </row>
        <row r="13">
          <cell r="N13" t="str">
            <v>Инструктор по физической культуре</v>
          </cell>
        </row>
        <row r="88">
          <cell r="S88">
            <v>5.1546391752577319E-3</v>
          </cell>
        </row>
        <row r="130">
          <cell r="S130">
            <v>0.14814814814814814</v>
          </cell>
        </row>
        <row r="132">
          <cell r="S132">
            <v>0</v>
          </cell>
        </row>
        <row r="133">
          <cell r="S133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72"/>
  <sheetViews>
    <sheetView view="pageBreakPreview" topLeftCell="A10" zoomScale="60" zoomScaleNormal="80" zoomScalePageLayoutView="85" workbookViewId="0">
      <selection activeCell="E13" sqref="E13:F13"/>
    </sheetView>
  </sheetViews>
  <sheetFormatPr defaultColWidth="8.85546875" defaultRowHeight="15" outlineLevelRow="2"/>
  <cols>
    <col min="1" max="1" width="17.42578125" style="5" customWidth="1"/>
    <col min="2" max="2" width="29" style="5" customWidth="1"/>
    <col min="3" max="3" width="33.5703125" style="5" customWidth="1"/>
    <col min="4" max="4" width="21.85546875" style="5" customWidth="1"/>
    <col min="5" max="5" width="11.5703125" style="5" customWidth="1"/>
    <col min="6" max="6" width="7.85546875" style="5" customWidth="1"/>
    <col min="7" max="7" width="23.85546875" style="14" hidden="1" customWidth="1"/>
    <col min="8" max="8" width="20.28515625" style="5" hidden="1" customWidth="1"/>
    <col min="9" max="9" width="17.140625" style="5" hidden="1" customWidth="1"/>
    <col min="10" max="10" width="12.140625" style="5" hidden="1" customWidth="1"/>
    <col min="11" max="11" width="19.7109375" style="5" hidden="1" customWidth="1"/>
    <col min="12" max="12" width="5.5703125" style="5" hidden="1" customWidth="1"/>
    <col min="13" max="13" width="4" style="67" hidden="1" customWidth="1"/>
    <col min="14" max="15" width="0" style="5" hidden="1" customWidth="1"/>
    <col min="16" max="16" width="5" style="68" hidden="1" customWidth="1"/>
    <col min="17" max="17" width="33.5703125" style="5" hidden="1" customWidth="1"/>
    <col min="18" max="18" width="11.5703125" style="5" hidden="1" customWidth="1"/>
    <col min="19" max="19" width="18.28515625" style="5" hidden="1" customWidth="1"/>
    <col min="20" max="20" width="20.85546875" style="5" hidden="1" customWidth="1"/>
    <col min="21" max="21" width="23.85546875" style="14" hidden="1" customWidth="1"/>
    <col min="22" max="22" width="20.28515625" style="5" hidden="1" customWidth="1"/>
    <col min="23" max="23" width="17.140625" style="5" hidden="1" customWidth="1"/>
    <col min="24" max="24" width="12.140625" style="5" hidden="1" customWidth="1"/>
    <col min="25" max="25" width="19.7109375" style="5" hidden="1" customWidth="1"/>
    <col min="26" max="26" width="5" style="39" hidden="1" customWidth="1"/>
    <col min="27" max="27" width="5.85546875" style="5" hidden="1" customWidth="1"/>
    <col min="28" max="28" width="33.5703125" style="5" hidden="1" customWidth="1"/>
    <col min="29" max="29" width="11.5703125" style="5" hidden="1" customWidth="1"/>
    <col min="30" max="30" width="18.28515625" style="5" hidden="1" customWidth="1"/>
    <col min="31" max="31" width="20.85546875" style="5" hidden="1" customWidth="1"/>
    <col min="32" max="32" width="23.85546875" style="14" hidden="1" customWidth="1"/>
    <col min="33" max="33" width="20.28515625" style="5" hidden="1" customWidth="1"/>
    <col min="34" max="34" width="17.140625" style="5" hidden="1" customWidth="1"/>
    <col min="35" max="35" width="12.140625" style="5" hidden="1" customWidth="1"/>
    <col min="36" max="36" width="19.7109375" style="5" hidden="1" customWidth="1"/>
    <col min="37" max="37" width="5.5703125" style="5" hidden="1" customWidth="1"/>
    <col min="38" max="38" width="4" style="67" hidden="1" customWidth="1"/>
    <col min="39" max="39" width="5.85546875" style="5" hidden="1" customWidth="1"/>
    <col min="40" max="40" width="34.7109375" style="5" hidden="1" customWidth="1"/>
    <col min="41" max="41" width="11.5703125" style="5" hidden="1" customWidth="1"/>
    <col min="42" max="42" width="10.85546875" style="5" hidden="1" customWidth="1"/>
    <col min="43" max="43" width="14" style="5" hidden="1" customWidth="1"/>
    <col min="44" max="44" width="14.85546875" style="14" hidden="1" customWidth="1"/>
    <col min="45" max="45" width="20.28515625" style="5" hidden="1" customWidth="1"/>
    <col min="46" max="46" width="12.7109375" style="5" hidden="1" customWidth="1"/>
    <col min="47" max="47" width="12.140625" style="5" hidden="1" customWidth="1"/>
    <col min="48" max="48" width="19.7109375" style="5" hidden="1" customWidth="1"/>
    <col min="49" max="49" width="5.5703125" style="5" hidden="1" customWidth="1"/>
    <col min="50" max="50" width="12.140625" style="5" hidden="1" customWidth="1"/>
    <col min="51" max="51" width="20.7109375" style="5" hidden="1" customWidth="1"/>
    <col min="52" max="54" width="18.7109375" style="5" hidden="1" customWidth="1"/>
    <col min="55" max="55" width="20.85546875" style="5" hidden="1" customWidth="1"/>
    <col min="56" max="56" width="18.5703125" style="5" hidden="1" customWidth="1"/>
    <col min="57" max="57" width="17" style="5" hidden="1" customWidth="1"/>
    <col min="58" max="58" width="13" style="5" hidden="1" customWidth="1"/>
    <col min="59" max="59" width="12.7109375" style="5" hidden="1" customWidth="1"/>
    <col min="60" max="60" width="19.7109375" style="5" hidden="1" customWidth="1"/>
    <col min="61" max="63" width="8.85546875" style="5" hidden="1" customWidth="1"/>
    <col min="64" max="82" width="0" style="5" hidden="1" customWidth="1"/>
    <col min="83" max="16384" width="8.85546875" style="5"/>
  </cols>
  <sheetData>
    <row r="1" spans="1:61" hidden="1"/>
    <row r="2" spans="1:61" s="39" customFormat="1" ht="19.5" hidden="1" customHeight="1">
      <c r="P2" s="68"/>
      <c r="T2" s="69"/>
      <c r="AE2" s="69"/>
      <c r="AO2" s="39" t="s">
        <v>172</v>
      </c>
      <c r="AQ2" s="69" t="s">
        <v>173</v>
      </c>
    </row>
    <row r="3" spans="1:61" s="39" customFormat="1" ht="79.5" hidden="1" customHeight="1">
      <c r="E3" s="754" t="s">
        <v>174</v>
      </c>
      <c r="F3" s="755"/>
      <c r="G3" s="755"/>
      <c r="H3" s="755"/>
      <c r="I3" s="755"/>
      <c r="P3" s="68"/>
      <c r="T3" s="69"/>
      <c r="AE3" s="69"/>
      <c r="AQ3" s="69"/>
    </row>
    <row r="4" spans="1:61" s="39" customFormat="1" ht="19.5" hidden="1" customHeight="1">
      <c r="P4" s="68"/>
      <c r="T4" s="69"/>
      <c r="AE4" s="69"/>
      <c r="AQ4" s="69"/>
    </row>
    <row r="5" spans="1:61" s="39" customFormat="1" ht="19.5" hidden="1" customHeight="1">
      <c r="P5" s="68"/>
      <c r="T5" s="69"/>
      <c r="AE5" s="69"/>
      <c r="AQ5" s="69"/>
    </row>
    <row r="6" spans="1:61" s="39" customFormat="1" ht="47.25" hidden="1" customHeight="1">
      <c r="B6" s="756" t="s">
        <v>175</v>
      </c>
      <c r="C6" s="756"/>
      <c r="D6" s="756"/>
      <c r="E6" s="756"/>
      <c r="F6" s="756"/>
      <c r="G6" s="70"/>
      <c r="H6" s="70"/>
      <c r="P6" s="68"/>
      <c r="T6" s="69"/>
      <c r="AE6" s="69"/>
      <c r="AQ6" s="69"/>
    </row>
    <row r="7" spans="1:61" s="39" customFormat="1" ht="19.5" hidden="1" customHeight="1">
      <c r="P7" s="68"/>
      <c r="T7" s="69"/>
      <c r="AE7" s="69"/>
      <c r="AQ7" s="69"/>
    </row>
    <row r="8" spans="1:61" s="39" customFormat="1" ht="19.5" hidden="1" customHeight="1">
      <c r="P8" s="68"/>
      <c r="T8" s="69"/>
      <c r="AE8" s="69"/>
      <c r="AQ8" s="69"/>
    </row>
    <row r="9" spans="1:61" s="39" customFormat="1" hidden="1">
      <c r="P9" s="68"/>
      <c r="AY9" s="39" t="s">
        <v>172</v>
      </c>
      <c r="BA9" s="39" t="s">
        <v>176</v>
      </c>
    </row>
    <row r="10" spans="1:61" ht="90" customHeight="1" thickBot="1">
      <c r="A10" s="71" t="s">
        <v>177</v>
      </c>
      <c r="B10" s="71" t="s">
        <v>178</v>
      </c>
      <c r="C10" s="72" t="s">
        <v>179</v>
      </c>
      <c r="D10" s="72" t="s">
        <v>180</v>
      </c>
      <c r="E10" s="757" t="s">
        <v>181</v>
      </c>
      <c r="F10" s="757"/>
      <c r="G10" s="74" t="s">
        <v>2</v>
      </c>
      <c r="H10" s="74" t="s">
        <v>78</v>
      </c>
      <c r="I10" s="74"/>
      <c r="J10" s="74" t="s">
        <v>99</v>
      </c>
      <c r="K10" s="74" t="s">
        <v>5</v>
      </c>
      <c r="L10" s="74" t="s">
        <v>0</v>
      </c>
      <c r="M10" s="75"/>
      <c r="Q10" s="74" t="s">
        <v>4</v>
      </c>
      <c r="R10" s="758" t="s">
        <v>100</v>
      </c>
      <c r="S10" s="759"/>
      <c r="T10" s="74" t="s">
        <v>57</v>
      </c>
      <c r="U10" s="74" t="s">
        <v>2</v>
      </c>
      <c r="V10" s="74" t="s">
        <v>78</v>
      </c>
      <c r="W10" s="74"/>
      <c r="X10" s="74" t="s">
        <v>99</v>
      </c>
      <c r="Y10" s="74" t="s">
        <v>5</v>
      </c>
      <c r="AA10" s="74" t="s">
        <v>1</v>
      </c>
      <c r="AB10" s="74" t="s">
        <v>4</v>
      </c>
      <c r="AC10" s="758" t="s">
        <v>100</v>
      </c>
      <c r="AD10" s="759"/>
      <c r="AE10" s="74" t="s">
        <v>57</v>
      </c>
      <c r="AF10" s="74" t="s">
        <v>2</v>
      </c>
      <c r="AG10" s="74" t="s">
        <v>78</v>
      </c>
      <c r="AH10" s="74"/>
      <c r="AI10" s="74" t="s">
        <v>99</v>
      </c>
      <c r="AJ10" s="74" t="s">
        <v>5</v>
      </c>
      <c r="AK10" s="74" t="s">
        <v>0</v>
      </c>
      <c r="AL10" s="75"/>
      <c r="AM10" s="74" t="s">
        <v>1</v>
      </c>
      <c r="AN10" s="74" t="s">
        <v>4</v>
      </c>
      <c r="AO10" s="758" t="s">
        <v>100</v>
      </c>
      <c r="AP10" s="759"/>
      <c r="AQ10" s="74" t="s">
        <v>57</v>
      </c>
      <c r="AR10" s="74" t="s">
        <v>2</v>
      </c>
      <c r="AS10" s="74" t="s">
        <v>78</v>
      </c>
      <c r="AT10" s="74"/>
      <c r="AU10" s="74" t="s">
        <v>99</v>
      </c>
      <c r="AV10" s="74" t="s">
        <v>5</v>
      </c>
      <c r="AW10" s="74" t="s">
        <v>0</v>
      </c>
      <c r="AX10" s="76" t="s">
        <v>182</v>
      </c>
      <c r="AY10" s="5">
        <v>2382</v>
      </c>
      <c r="AZ10" s="5">
        <f>576*36*2382</f>
        <v>49393152</v>
      </c>
      <c r="BF10" s="5" t="s">
        <v>183</v>
      </c>
      <c r="BG10" s="5" t="s">
        <v>184</v>
      </c>
      <c r="BH10" s="5">
        <f>135/6</f>
        <v>22.5</v>
      </c>
    </row>
    <row r="11" spans="1:61" ht="15.75" thickBot="1">
      <c r="A11" s="77">
        <v>1</v>
      </c>
      <c r="B11" s="77">
        <v>2</v>
      </c>
      <c r="C11" s="78">
        <v>3</v>
      </c>
      <c r="D11" s="78">
        <v>4</v>
      </c>
      <c r="E11" s="762">
        <v>5</v>
      </c>
      <c r="F11" s="762"/>
      <c r="G11" s="74">
        <v>4</v>
      </c>
      <c r="H11" s="74" t="s">
        <v>77</v>
      </c>
      <c r="I11" s="74"/>
      <c r="J11" s="74">
        <v>6</v>
      </c>
      <c r="K11" s="74" t="s">
        <v>56</v>
      </c>
      <c r="L11" s="74">
        <v>8</v>
      </c>
      <c r="M11" s="75"/>
      <c r="Q11" s="74">
        <v>2</v>
      </c>
      <c r="R11" s="758"/>
      <c r="S11" s="759"/>
      <c r="T11" s="74">
        <v>3</v>
      </c>
      <c r="U11" s="74">
        <v>4</v>
      </c>
      <c r="V11" s="74" t="s">
        <v>77</v>
      </c>
      <c r="W11" s="74"/>
      <c r="X11" s="74">
        <v>6</v>
      </c>
      <c r="Y11" s="74" t="s">
        <v>56</v>
      </c>
      <c r="AA11" s="74">
        <v>1</v>
      </c>
      <c r="AB11" s="74">
        <v>2</v>
      </c>
      <c r="AC11" s="758"/>
      <c r="AD11" s="759"/>
      <c r="AE11" s="74">
        <v>3</v>
      </c>
      <c r="AF11" s="74">
        <v>4</v>
      </c>
      <c r="AG11" s="74" t="s">
        <v>77</v>
      </c>
      <c r="AH11" s="74"/>
      <c r="AI11" s="74">
        <v>6</v>
      </c>
      <c r="AJ11" s="74" t="s">
        <v>56</v>
      </c>
      <c r="AK11" s="74">
        <v>8</v>
      </c>
      <c r="AL11" s="75"/>
      <c r="AM11" s="74">
        <v>1</v>
      </c>
      <c r="AN11" s="74">
        <v>2</v>
      </c>
      <c r="AO11" s="758"/>
      <c r="AP11" s="759"/>
      <c r="AQ11" s="74">
        <v>3</v>
      </c>
      <c r="AR11" s="74">
        <v>4</v>
      </c>
      <c r="AS11" s="74" t="s">
        <v>77</v>
      </c>
      <c r="AT11" s="74"/>
      <c r="AU11" s="74">
        <v>6</v>
      </c>
      <c r="AV11" s="74" t="s">
        <v>56</v>
      </c>
      <c r="AW11" s="74">
        <v>8</v>
      </c>
      <c r="AX11" s="76"/>
      <c r="AY11" s="80" t="s">
        <v>185</v>
      </c>
      <c r="AZ11" s="81"/>
      <c r="BA11" s="80" t="s">
        <v>186</v>
      </c>
      <c r="BB11" s="81"/>
      <c r="BF11" s="5" t="s">
        <v>187</v>
      </c>
      <c r="BG11" s="5">
        <f>13*36</f>
        <v>468</v>
      </c>
      <c r="BH11" s="5">
        <f>BG11*18</f>
        <v>8424</v>
      </c>
      <c r="BI11" s="5" t="s">
        <v>188</v>
      </c>
    </row>
    <row r="12" spans="1:61" ht="39.75" customHeight="1">
      <c r="A12" s="746" t="s">
        <v>277</v>
      </c>
      <c r="B12" s="747" t="s">
        <v>189</v>
      </c>
      <c r="C12" s="749" t="s">
        <v>190</v>
      </c>
      <c r="D12" s="749"/>
      <c r="E12" s="749"/>
      <c r="F12" s="749"/>
      <c r="G12" s="749"/>
      <c r="H12" s="749"/>
      <c r="I12" s="749"/>
      <c r="J12" s="749"/>
      <c r="K12" s="749"/>
      <c r="L12" s="749"/>
      <c r="M12" s="82"/>
      <c r="Q12" s="68"/>
      <c r="R12" s="68"/>
      <c r="S12" s="68"/>
      <c r="T12" s="68"/>
      <c r="U12" s="68"/>
      <c r="V12" s="39"/>
      <c r="W12" s="39"/>
      <c r="X12" s="39"/>
      <c r="Y12" s="39"/>
      <c r="AA12" s="750" t="s">
        <v>7</v>
      </c>
      <c r="AB12" s="751"/>
      <c r="AC12" s="751"/>
      <c r="AD12" s="751"/>
      <c r="AE12" s="751"/>
      <c r="AF12" s="751"/>
      <c r="AG12" s="751"/>
      <c r="AH12" s="751"/>
      <c r="AI12" s="751"/>
      <c r="AJ12" s="751"/>
      <c r="AK12" s="752"/>
      <c r="AL12" s="82"/>
      <c r="AM12" s="750" t="s">
        <v>7</v>
      </c>
      <c r="AN12" s="751"/>
      <c r="AO12" s="751"/>
      <c r="AP12" s="751"/>
      <c r="AQ12" s="751"/>
      <c r="AR12" s="751"/>
      <c r="AS12" s="751"/>
      <c r="AT12" s="751"/>
      <c r="AU12" s="751"/>
      <c r="AV12" s="751"/>
      <c r="AW12" s="752"/>
      <c r="AX12" s="19"/>
      <c r="AY12" s="5" t="s">
        <v>191</v>
      </c>
      <c r="BF12" s="5">
        <v>468</v>
      </c>
      <c r="BG12" s="35">
        <v>36</v>
      </c>
      <c r="BH12" s="5">
        <f>BG12*BF12</f>
        <v>16848</v>
      </c>
      <c r="BI12" s="5">
        <v>6</v>
      </c>
    </row>
    <row r="13" spans="1:61" ht="39.75" customHeight="1">
      <c r="A13" s="746"/>
      <c r="B13" s="748"/>
      <c r="C13" s="235" t="str">
        <f>'[1]расчет свод'!N8</f>
        <v>Старший воспитатель</v>
      </c>
      <c r="D13" s="238" t="s">
        <v>192</v>
      </c>
      <c r="E13" s="753" t="e">
        <f>'расчет по услугам'!#REF!</f>
        <v>#REF!</v>
      </c>
      <c r="F13" s="753"/>
      <c r="G13" s="205">
        <v>48</v>
      </c>
      <c r="H13" s="278" t="e">
        <f>#REF!/G13</f>
        <v>#REF!</v>
      </c>
      <c r="I13" s="279"/>
      <c r="J13" s="252">
        <f>462977*1.302/1776.4/1</f>
        <v>339.33576559333483</v>
      </c>
      <c r="K13" s="280">
        <f t="shared" ref="K13:K16" si="0">IFERROR(H13*J13,0)</f>
        <v>0</v>
      </c>
      <c r="L13" s="281"/>
      <c r="M13" s="264"/>
      <c r="Q13" s="28" t="s">
        <v>136</v>
      </c>
      <c r="R13" s="760">
        <f>1/149*U13</f>
        <v>0.32214765100671139</v>
      </c>
      <c r="S13" s="761"/>
      <c r="T13" s="27">
        <f>R13*1776.4</f>
        <v>572.26308724832211</v>
      </c>
      <c r="U13" s="27">
        <v>48</v>
      </c>
      <c r="V13" s="87">
        <f>T13/U13</f>
        <v>11.922147651006711</v>
      </c>
      <c r="W13" s="84"/>
      <c r="X13" s="52">
        <f>462977*1.302/1776.4/1</f>
        <v>339.33576559333483</v>
      </c>
      <c r="Y13" s="85">
        <f t="shared" ref="Y13:Y16" si="1">IFERROR(V13*X13,0)</f>
        <v>4045.6111006711408</v>
      </c>
      <c r="AA13" s="88">
        <v>1</v>
      </c>
      <c r="AB13" s="28" t="s">
        <v>136</v>
      </c>
      <c r="AC13" s="760">
        <f>1/149*AF13</f>
        <v>0.67785234899328861</v>
      </c>
      <c r="AD13" s="761"/>
      <c r="AE13" s="27">
        <f>AC13*1776.4</f>
        <v>1204.136912751678</v>
      </c>
      <c r="AF13" s="27">
        <v>101</v>
      </c>
      <c r="AG13" s="83">
        <f>AE13/AF13</f>
        <v>11.922147651006712</v>
      </c>
      <c r="AH13" s="84"/>
      <c r="AI13" s="52">
        <f>462977*1.302/1776.4/1</f>
        <v>339.33576559333483</v>
      </c>
      <c r="AJ13" s="85">
        <f t="shared" ref="AJ13:AJ18" si="2">IFERROR(AG13*AI13,0)</f>
        <v>4045.6111006711412</v>
      </c>
      <c r="AK13" s="16"/>
      <c r="AL13" s="86"/>
      <c r="AM13" s="88">
        <v>1</v>
      </c>
      <c r="AN13" s="28" t="s">
        <v>139</v>
      </c>
      <c r="AO13" s="760">
        <v>9</v>
      </c>
      <c r="AP13" s="761"/>
      <c r="AQ13" s="27">
        <f t="shared" ref="AQ13" si="3">AO13*1776.4</f>
        <v>15987.6</v>
      </c>
      <c r="AR13" s="27">
        <v>149</v>
      </c>
      <c r="AS13" s="83">
        <f>AQ13/AR13</f>
        <v>107.29932885906041</v>
      </c>
      <c r="AT13" s="84"/>
      <c r="AU13" s="52">
        <f>2246239.55*1.302/1776.4/AO13</f>
        <v>182.92951375440964</v>
      </c>
      <c r="AV13" s="85">
        <f>IFERROR(AS13*AU13,0)</f>
        <v>19628.214054362415</v>
      </c>
      <c r="AW13" s="16"/>
      <c r="AX13" s="20">
        <v>1</v>
      </c>
      <c r="AY13" s="17">
        <f>462977*1.302</f>
        <v>602796.054</v>
      </c>
      <c r="AZ13" s="17">
        <f>AJ13*AF13</f>
        <v>408606.72116778529</v>
      </c>
      <c r="BA13" s="17">
        <f>2246239.55*1.302</f>
        <v>2924603.8940999997</v>
      </c>
      <c r="BB13" s="17">
        <f>AR13*AV13</f>
        <v>2924603.8940999997</v>
      </c>
      <c r="BG13" s="35"/>
    </row>
    <row r="14" spans="1:61" ht="47.25" customHeight="1" outlineLevel="1">
      <c r="A14" s="746"/>
      <c r="B14" s="748"/>
      <c r="C14" s="235" t="str">
        <f>'[1]расчет свод'!N9</f>
        <v>Воспитатель</v>
      </c>
      <c r="D14" s="238" t="s">
        <v>192</v>
      </c>
      <c r="E14" s="753" t="e">
        <f>'расчет по услугам'!#REF!</f>
        <v>#REF!</v>
      </c>
      <c r="F14" s="753"/>
      <c r="G14" s="205">
        <f>G13</f>
        <v>48</v>
      </c>
      <c r="H14" s="278" t="e">
        <f>#REF!/G14</f>
        <v>#REF!</v>
      </c>
      <c r="I14" s="279"/>
      <c r="J14" s="252">
        <f>4941446*1.302/1776.4/12</f>
        <v>301.81653400135104</v>
      </c>
      <c r="K14" s="280">
        <f t="shared" si="0"/>
        <v>0</v>
      </c>
      <c r="L14" s="281"/>
      <c r="M14" s="265"/>
      <c r="Q14" s="28" t="s">
        <v>193</v>
      </c>
      <c r="R14" s="760">
        <f>12/149*U14</f>
        <v>3.8657718120805367</v>
      </c>
      <c r="S14" s="761"/>
      <c r="T14" s="27">
        <f t="shared" ref="T14:T18" si="4">R14*1776.4</f>
        <v>6867.1570469798653</v>
      </c>
      <c r="U14" s="27">
        <f>U13</f>
        <v>48</v>
      </c>
      <c r="V14" s="87">
        <f>T14/U14</f>
        <v>143.06577181208053</v>
      </c>
      <c r="W14" s="84"/>
      <c r="X14" s="52">
        <f>4941446*1.302/1776.4/12</f>
        <v>301.81653400135104</v>
      </c>
      <c r="Y14" s="89">
        <f t="shared" si="1"/>
        <v>43179.615382550335</v>
      </c>
      <c r="AA14" s="88">
        <v>2</v>
      </c>
      <c r="AB14" s="28" t="s">
        <v>193</v>
      </c>
      <c r="AC14" s="760">
        <f>12/149*AF14</f>
        <v>8.1342281879194633</v>
      </c>
      <c r="AD14" s="761"/>
      <c r="AE14" s="27">
        <f t="shared" ref="AE14:AE18" si="5">AC14*1776.4</f>
        <v>14449.642953020135</v>
      </c>
      <c r="AF14" s="27">
        <f>AF13</f>
        <v>101</v>
      </c>
      <c r="AG14" s="83">
        <f>AE14/AF14</f>
        <v>143.06577181208056</v>
      </c>
      <c r="AH14" s="84"/>
      <c r="AI14" s="52">
        <f>4941446*1.302/1776.4/12</f>
        <v>301.81653400135104</v>
      </c>
      <c r="AJ14" s="89">
        <f t="shared" si="2"/>
        <v>43179.615382550342</v>
      </c>
      <c r="AK14" s="40"/>
      <c r="AL14" s="90"/>
      <c r="AM14" s="88"/>
      <c r="AN14" s="28"/>
      <c r="AO14" s="760"/>
      <c r="AP14" s="761"/>
      <c r="AQ14" s="27"/>
      <c r="AR14" s="27"/>
      <c r="AS14" s="83"/>
      <c r="AT14" s="84"/>
      <c r="AU14" s="52"/>
      <c r="AV14" s="89"/>
      <c r="AW14" s="40"/>
      <c r="AX14" s="20">
        <v>12</v>
      </c>
      <c r="AY14" s="17">
        <f>4941446*1.302</f>
        <v>6433762.6919999998</v>
      </c>
      <c r="AZ14" s="17">
        <f t="shared" ref="AZ14:AZ18" si="6">AJ14*AF14</f>
        <v>4361141.1536375843</v>
      </c>
      <c r="BA14" s="17"/>
      <c r="BB14" s="17"/>
      <c r="BC14" s="763" t="s">
        <v>194</v>
      </c>
      <c r="BD14" s="24">
        <f>AY14/AF14</f>
        <v>63700.620712871285</v>
      </c>
      <c r="BE14" s="91">
        <f>BD14/AG14</f>
        <v>445.25409471486432</v>
      </c>
      <c r="BH14" s="5" t="s">
        <v>195</v>
      </c>
      <c r="BI14" s="5">
        <f>ROUND(BH12/BI12,0)</f>
        <v>2808</v>
      </c>
    </row>
    <row r="15" spans="1:61" ht="48" customHeight="1" outlineLevel="1">
      <c r="A15" s="746"/>
      <c r="B15" s="748"/>
      <c r="C15" s="235" t="str">
        <f>'[1]расчет свод'!N10</f>
        <v>Музыкальный руководитель</v>
      </c>
      <c r="D15" s="238" t="s">
        <v>192</v>
      </c>
      <c r="E15" s="753" t="e">
        <f>'расчет по услугам'!#REF!</f>
        <v>#REF!</v>
      </c>
      <c r="F15" s="753"/>
      <c r="G15" s="205">
        <f t="shared" ref="G15:G18" si="7">G14</f>
        <v>48</v>
      </c>
      <c r="H15" s="278" t="e">
        <f>#REF!/G15</f>
        <v>#REF!</v>
      </c>
      <c r="I15" s="279"/>
      <c r="J15" s="252">
        <f>315780*1.302/1776.4/1.5</f>
        <v>154.29916685431209</v>
      </c>
      <c r="K15" s="280">
        <f t="shared" si="0"/>
        <v>0</v>
      </c>
      <c r="L15" s="281"/>
      <c r="M15" s="265"/>
      <c r="Q15" s="28" t="s">
        <v>137</v>
      </c>
      <c r="R15" s="760">
        <f>1.5/149*U15</f>
        <v>0.48322147651006708</v>
      </c>
      <c r="S15" s="761"/>
      <c r="T15" s="27">
        <f t="shared" si="4"/>
        <v>858.39463087248316</v>
      </c>
      <c r="U15" s="27">
        <f t="shared" ref="U15:U18" si="8">U14</f>
        <v>48</v>
      </c>
      <c r="V15" s="87">
        <f t="shared" ref="V15" si="9">T15/U15</f>
        <v>17.883221476510066</v>
      </c>
      <c r="W15" s="84"/>
      <c r="X15" s="52">
        <f>315780*1.302/1776.4/1.5</f>
        <v>154.29916685431209</v>
      </c>
      <c r="Y15" s="89">
        <f t="shared" si="1"/>
        <v>2759.3661744966439</v>
      </c>
      <c r="AA15" s="88">
        <v>3</v>
      </c>
      <c r="AB15" s="28" t="s">
        <v>137</v>
      </c>
      <c r="AC15" s="760">
        <f>1.5/149*AF15</f>
        <v>1.0167785234899329</v>
      </c>
      <c r="AD15" s="761"/>
      <c r="AE15" s="27">
        <f t="shared" si="5"/>
        <v>1806.2053691275169</v>
      </c>
      <c r="AF15" s="27">
        <f t="shared" ref="AF15:AF18" si="10">AF14</f>
        <v>101</v>
      </c>
      <c r="AG15" s="83">
        <f t="shared" ref="AG15:AG18" si="11">AE15/AF15</f>
        <v>17.883221476510069</v>
      </c>
      <c r="AH15" s="84"/>
      <c r="AI15" s="52">
        <f>315780*1.302/1776.4/1.5</f>
        <v>154.29916685431209</v>
      </c>
      <c r="AJ15" s="89">
        <f t="shared" si="2"/>
        <v>2759.3661744966448</v>
      </c>
      <c r="AK15" s="40"/>
      <c r="AL15" s="90"/>
      <c r="AM15" s="88"/>
      <c r="AN15" s="28"/>
      <c r="AO15" s="760"/>
      <c r="AP15" s="761"/>
      <c r="AQ15" s="27"/>
      <c r="AR15" s="27"/>
      <c r="AS15" s="83"/>
      <c r="AT15" s="84"/>
      <c r="AU15" s="52"/>
      <c r="AV15" s="89"/>
      <c r="AW15" s="40"/>
      <c r="AX15" s="20">
        <v>1.5</v>
      </c>
      <c r="AY15" s="17">
        <f>315780*1.302</f>
        <v>411145.56</v>
      </c>
      <c r="AZ15" s="17">
        <f t="shared" si="6"/>
        <v>278695.9836241611</v>
      </c>
      <c r="BA15" s="17"/>
      <c r="BB15" s="17"/>
      <c r="BC15" s="764"/>
      <c r="BD15" s="24">
        <f>AY15/AF15</f>
        <v>4070.7481188118813</v>
      </c>
      <c r="BE15" s="91">
        <f>BD15/AG15</f>
        <v>227.62946397319305</v>
      </c>
      <c r="BI15" s="5">
        <f>BI14*135</f>
        <v>379080</v>
      </c>
    </row>
    <row r="16" spans="1:61" ht="32.25" customHeight="1" outlineLevel="1">
      <c r="A16" s="746"/>
      <c r="B16" s="748"/>
      <c r="C16" s="235" t="e">
        <f>'расчет по услугам'!#REF!</f>
        <v>#REF!</v>
      </c>
      <c r="D16" s="238" t="s">
        <v>192</v>
      </c>
      <c r="E16" s="753" t="e">
        <f>'расчет по услугам'!#REF!</f>
        <v>#REF!</v>
      </c>
      <c r="F16" s="753"/>
      <c r="G16" s="205">
        <f t="shared" si="7"/>
        <v>48</v>
      </c>
      <c r="H16" s="278" t="e">
        <f>#REF!/G16</f>
        <v>#REF!</v>
      </c>
      <c r="I16" s="279"/>
      <c r="J16" s="252">
        <f>334020*1.302/1776.4/1</f>
        <v>244.81763116415223</v>
      </c>
      <c r="K16" s="280">
        <f t="shared" si="0"/>
        <v>0</v>
      </c>
      <c r="L16" s="281"/>
      <c r="M16" s="265"/>
      <c r="Q16" s="28" t="s">
        <v>138</v>
      </c>
      <c r="R16" s="760">
        <f>1/149*U16</f>
        <v>0.32214765100671139</v>
      </c>
      <c r="S16" s="761"/>
      <c r="T16" s="27">
        <f t="shared" si="4"/>
        <v>572.26308724832211</v>
      </c>
      <c r="U16" s="27">
        <f t="shared" si="8"/>
        <v>48</v>
      </c>
      <c r="V16" s="87">
        <f>T16/U16</f>
        <v>11.922147651006711</v>
      </c>
      <c r="W16" s="84"/>
      <c r="X16" s="52">
        <f>334020*1.302/1776.4/1</f>
        <v>244.81763116415223</v>
      </c>
      <c r="Y16" s="89">
        <f t="shared" si="1"/>
        <v>2918.7519463087247</v>
      </c>
      <c r="AA16" s="88">
        <v>4</v>
      </c>
      <c r="AB16" s="28" t="s">
        <v>138</v>
      </c>
      <c r="AC16" s="760">
        <f>1/149*AF16</f>
        <v>0.67785234899328861</v>
      </c>
      <c r="AD16" s="761"/>
      <c r="AE16" s="27">
        <f t="shared" si="5"/>
        <v>1204.136912751678</v>
      </c>
      <c r="AF16" s="27">
        <f t="shared" si="10"/>
        <v>101</v>
      </c>
      <c r="AG16" s="83">
        <f>AE16/AF16</f>
        <v>11.922147651006712</v>
      </c>
      <c r="AH16" s="84"/>
      <c r="AI16" s="52">
        <f>334020*1.302/1776.4/1</f>
        <v>244.81763116415223</v>
      </c>
      <c r="AJ16" s="89">
        <f t="shared" si="2"/>
        <v>2918.7519463087251</v>
      </c>
      <c r="AK16" s="40"/>
      <c r="AL16" s="90"/>
      <c r="AM16" s="88"/>
      <c r="AN16" s="28"/>
      <c r="AO16" s="57"/>
      <c r="AP16" s="58"/>
      <c r="AQ16" s="27"/>
      <c r="AR16" s="27"/>
      <c r="AS16" s="83"/>
      <c r="AT16" s="84"/>
      <c r="AU16" s="52"/>
      <c r="AV16" s="89"/>
      <c r="AW16" s="40"/>
      <c r="AX16" s="20">
        <v>1</v>
      </c>
      <c r="AY16" s="17">
        <f>334020*1.302</f>
        <v>434894.04000000004</v>
      </c>
      <c r="AZ16" s="17">
        <f t="shared" si="6"/>
        <v>294793.94657718122</v>
      </c>
      <c r="BA16" s="17"/>
      <c r="BB16" s="17"/>
      <c r="BC16" s="764"/>
      <c r="BD16" s="24"/>
      <c r="BE16" s="91"/>
    </row>
    <row r="17" spans="1:61" ht="41.25" customHeight="1" outlineLevel="1">
      <c r="A17" s="746"/>
      <c r="B17" s="748"/>
      <c r="C17" s="235" t="str">
        <f>'[1]расчет свод'!N12</f>
        <v>Учитель-логопед</v>
      </c>
      <c r="D17" s="238" t="s">
        <v>192</v>
      </c>
      <c r="E17" s="753" t="e">
        <f>'расчет по услугам'!#REF!</f>
        <v>#REF!</v>
      </c>
      <c r="F17" s="753"/>
      <c r="G17" s="205">
        <f>G16</f>
        <v>48</v>
      </c>
      <c r="H17" s="278" t="e">
        <f>#REF!/G17</f>
        <v>#REF!</v>
      </c>
      <c r="I17" s="279"/>
      <c r="J17" s="252">
        <f>147744*1.302/1776.4/0.5</f>
        <v>216.57587029948209</v>
      </c>
      <c r="K17" s="280">
        <f>IFERROR(H17*J17,0)</f>
        <v>0</v>
      </c>
      <c r="L17" s="281"/>
      <c r="M17" s="265"/>
      <c r="Q17" s="28" t="s">
        <v>76</v>
      </c>
      <c r="R17" s="760">
        <f>0.5/149*U17</f>
        <v>0.16107382550335569</v>
      </c>
      <c r="S17" s="761"/>
      <c r="T17" s="27">
        <f t="shared" si="4"/>
        <v>286.13154362416105</v>
      </c>
      <c r="U17" s="27">
        <f>U16</f>
        <v>48</v>
      </c>
      <c r="V17" s="87">
        <f t="shared" ref="V17:V18" si="12">T17/U17</f>
        <v>5.9610738255033553</v>
      </c>
      <c r="W17" s="84"/>
      <c r="X17" s="52">
        <f>147744*1.302/1776.4/0.5</f>
        <v>216.57587029948209</v>
      </c>
      <c r="Y17" s="89">
        <f>IFERROR(V17*X17,0)</f>
        <v>1291.0247516778522</v>
      </c>
      <c r="AA17" s="88">
        <v>5</v>
      </c>
      <c r="AB17" s="28" t="s">
        <v>76</v>
      </c>
      <c r="AC17" s="760">
        <f>0.5/149*AF17</f>
        <v>0.33892617449664431</v>
      </c>
      <c r="AD17" s="761"/>
      <c r="AE17" s="27">
        <f t="shared" si="5"/>
        <v>602.06845637583899</v>
      </c>
      <c r="AF17" s="27">
        <f>AF16</f>
        <v>101</v>
      </c>
      <c r="AG17" s="83">
        <f t="shared" si="11"/>
        <v>5.9610738255033562</v>
      </c>
      <c r="AH17" s="84"/>
      <c r="AI17" s="52">
        <f>147744*1.302/1776.4/0.5</f>
        <v>216.57587029948209</v>
      </c>
      <c r="AJ17" s="89">
        <f>IFERROR(AG17*AI17,0)</f>
        <v>1291.0247516778525</v>
      </c>
      <c r="AK17" s="40"/>
      <c r="AL17" s="90"/>
      <c r="AM17" s="88"/>
      <c r="AN17" s="28"/>
      <c r="AO17" s="760"/>
      <c r="AP17" s="761"/>
      <c r="AQ17" s="27"/>
      <c r="AR17" s="27"/>
      <c r="AS17" s="83"/>
      <c r="AT17" s="84"/>
      <c r="AU17" s="52"/>
      <c r="AV17" s="89"/>
      <c r="AW17" s="40"/>
      <c r="AX17" s="20">
        <v>0.5</v>
      </c>
      <c r="AY17" s="17">
        <f>147744*1.302</f>
        <v>192362.68799999999</v>
      </c>
      <c r="AZ17" s="17">
        <f t="shared" si="6"/>
        <v>130393.49991946309</v>
      </c>
      <c r="BA17" s="17"/>
      <c r="BB17" s="17"/>
      <c r="BC17" s="764"/>
      <c r="BI17" s="5">
        <f>BI14*135</f>
        <v>379080</v>
      </c>
    </row>
    <row r="18" spans="1:61" ht="48" customHeight="1" outlineLevel="1">
      <c r="A18" s="746"/>
      <c r="B18" s="748"/>
      <c r="C18" s="235" t="str">
        <f>'[1]расчет свод'!N13</f>
        <v>Инструктор по физической культуре</v>
      </c>
      <c r="D18" s="238" t="s">
        <v>192</v>
      </c>
      <c r="E18" s="753" t="e">
        <f>'расчет по услугам'!#REF!</f>
        <v>#REF!</v>
      </c>
      <c r="F18" s="753"/>
      <c r="G18" s="205">
        <f t="shared" si="7"/>
        <v>48</v>
      </c>
      <c r="H18" s="278" t="e">
        <f>#REF!/G18</f>
        <v>#REF!</v>
      </c>
      <c r="I18" s="279"/>
      <c r="J18" s="252">
        <f>148200*1.302/1776.4/0.5</f>
        <v>217.24431434361628</v>
      </c>
      <c r="K18" s="280">
        <f t="shared" ref="K18" si="13">IFERROR(H18*J18,0)</f>
        <v>0</v>
      </c>
      <c r="L18" s="281"/>
      <c r="M18" s="265"/>
      <c r="Q18" s="28" t="s">
        <v>126</v>
      </c>
      <c r="R18" s="760">
        <f>0.5/149*U18</f>
        <v>0.16107382550335569</v>
      </c>
      <c r="S18" s="761"/>
      <c r="T18" s="27">
        <f t="shared" si="4"/>
        <v>286.13154362416105</v>
      </c>
      <c r="U18" s="27">
        <f t="shared" si="8"/>
        <v>48</v>
      </c>
      <c r="V18" s="87">
        <f t="shared" si="12"/>
        <v>5.9610738255033553</v>
      </c>
      <c r="W18" s="84"/>
      <c r="X18" s="52">
        <f>148200*1.302/1776.4/0.5</f>
        <v>217.24431434361628</v>
      </c>
      <c r="Y18" s="89">
        <f t="shared" ref="Y18" si="14">IFERROR(V18*X18,0)</f>
        <v>1295.0093959731541</v>
      </c>
      <c r="AA18" s="88">
        <v>6</v>
      </c>
      <c r="AB18" s="28" t="s">
        <v>126</v>
      </c>
      <c r="AC18" s="760">
        <f>0.5/149*AF18</f>
        <v>0.33892617449664431</v>
      </c>
      <c r="AD18" s="761"/>
      <c r="AE18" s="27">
        <f t="shared" si="5"/>
        <v>602.06845637583899</v>
      </c>
      <c r="AF18" s="27">
        <f t="shared" si="10"/>
        <v>101</v>
      </c>
      <c r="AG18" s="83">
        <f t="shared" si="11"/>
        <v>5.9610738255033562</v>
      </c>
      <c r="AH18" s="84"/>
      <c r="AI18" s="52">
        <f>148200*1.302/1776.4/0.5</f>
        <v>217.24431434361628</v>
      </c>
      <c r="AJ18" s="89">
        <f t="shared" si="2"/>
        <v>1295.0093959731544</v>
      </c>
      <c r="AK18" s="40"/>
      <c r="AL18" s="90"/>
      <c r="AM18" s="88"/>
      <c r="AN18" s="28"/>
      <c r="AO18" s="760"/>
      <c r="AP18" s="761"/>
      <c r="AQ18" s="27"/>
      <c r="AR18" s="27"/>
      <c r="AS18" s="83"/>
      <c r="AT18" s="84"/>
      <c r="AU18" s="52"/>
      <c r="AV18" s="89"/>
      <c r="AW18" s="40"/>
      <c r="AX18" s="20">
        <v>0.5</v>
      </c>
      <c r="AY18" s="17">
        <f>148200*1.302</f>
        <v>192956.4</v>
      </c>
      <c r="AZ18" s="17">
        <f t="shared" si="6"/>
        <v>130795.94899328859</v>
      </c>
      <c r="BA18" s="17"/>
      <c r="BB18" s="17"/>
      <c r="BC18" s="764"/>
    </row>
    <row r="19" spans="1:61" ht="15.75" hidden="1" customHeight="1" outlineLevel="1" thickBot="1">
      <c r="A19" s="746"/>
      <c r="B19" s="748"/>
      <c r="C19" s="768"/>
      <c r="D19" s="768"/>
      <c r="E19" s="768"/>
      <c r="F19" s="768"/>
      <c r="G19" s="768"/>
      <c r="H19" s="768"/>
      <c r="I19" s="768"/>
      <c r="J19" s="768"/>
      <c r="K19" s="247">
        <f>SUM(K13:K18)</f>
        <v>0</v>
      </c>
      <c r="L19" s="281"/>
      <c r="M19" s="266"/>
      <c r="Q19" s="68"/>
      <c r="R19" s="68"/>
      <c r="S19" s="68"/>
      <c r="T19" s="68"/>
      <c r="U19" s="68"/>
      <c r="V19" s="68"/>
      <c r="W19" s="68"/>
      <c r="X19" s="68"/>
      <c r="Y19" s="92">
        <f>SUM(Y13:Y18)</f>
        <v>55489.378751677854</v>
      </c>
      <c r="AA19" s="769" t="s">
        <v>42</v>
      </c>
      <c r="AB19" s="770"/>
      <c r="AC19" s="770"/>
      <c r="AD19" s="770"/>
      <c r="AE19" s="770"/>
      <c r="AF19" s="770"/>
      <c r="AG19" s="770"/>
      <c r="AH19" s="770"/>
      <c r="AI19" s="771"/>
      <c r="AJ19" s="92">
        <f>SUM(AJ13:AJ18)</f>
        <v>55489.378751677861</v>
      </c>
      <c r="AK19" s="40"/>
      <c r="AL19" s="93"/>
      <c r="AM19" s="769" t="s">
        <v>42</v>
      </c>
      <c r="AN19" s="770"/>
      <c r="AO19" s="770"/>
      <c r="AP19" s="770"/>
      <c r="AQ19" s="770"/>
      <c r="AR19" s="770"/>
      <c r="AS19" s="770"/>
      <c r="AT19" s="770"/>
      <c r="AU19" s="771"/>
      <c r="AV19" s="92">
        <f>SUM(AV13:AV18)</f>
        <v>19628.214054362415</v>
      </c>
      <c r="AW19" s="40"/>
      <c r="AX19" s="94"/>
      <c r="AY19" s="95">
        <f>(AY13+AY14+AY15+AY17+AY18+AY16)</f>
        <v>8267917.4339999994</v>
      </c>
      <c r="AZ19" s="17">
        <f>(AZ13+AZ14+AZ15+AZ17+AZ18+AZ16)</f>
        <v>5604427.2539194636</v>
      </c>
      <c r="BA19" s="95">
        <f>SUM(BA13:BA18)</f>
        <v>2924603.8940999997</v>
      </c>
      <c r="BB19" s="17"/>
      <c r="BC19" s="765"/>
      <c r="BI19" s="5" t="e">
        <f>#REF!*135</f>
        <v>#REF!</v>
      </c>
    </row>
    <row r="20" spans="1:61" s="100" customFormat="1" ht="15" hidden="1" customHeight="1" outlineLevel="1">
      <c r="A20" s="746"/>
      <c r="B20" s="748"/>
      <c r="C20" s="282"/>
      <c r="D20" s="282"/>
      <c r="E20" s="282"/>
      <c r="F20" s="282"/>
      <c r="G20" s="282"/>
      <c r="H20" s="282"/>
      <c r="I20" s="282"/>
      <c r="J20" s="282"/>
      <c r="K20" s="283"/>
      <c r="L20" s="284"/>
      <c r="M20" s="99"/>
      <c r="P20" s="101"/>
      <c r="Q20" s="96"/>
      <c r="R20" s="96"/>
      <c r="S20" s="96"/>
      <c r="T20" s="96"/>
      <c r="U20" s="96"/>
      <c r="V20" s="96"/>
      <c r="W20" s="96"/>
      <c r="X20" s="96"/>
      <c r="Y20" s="97"/>
      <c r="AA20" s="96"/>
      <c r="AB20" s="96"/>
      <c r="AC20" s="96"/>
      <c r="AD20" s="96"/>
      <c r="AE20" s="96"/>
      <c r="AF20" s="96"/>
      <c r="AG20" s="96"/>
      <c r="AH20" s="96"/>
      <c r="AI20" s="96"/>
      <c r="AJ20" s="97"/>
      <c r="AK20" s="98"/>
      <c r="AL20" s="99"/>
      <c r="AM20" s="96"/>
      <c r="AN20" s="96"/>
      <c r="AO20" s="96"/>
      <c r="AP20" s="96"/>
      <c r="AQ20" s="96"/>
      <c r="AR20" s="96"/>
      <c r="AS20" s="96"/>
      <c r="AT20" s="96"/>
      <c r="AU20" s="96"/>
      <c r="AV20" s="97"/>
      <c r="AW20" s="98"/>
      <c r="AX20" s="102"/>
      <c r="AY20" s="103">
        <v>8267917.9000000004</v>
      </c>
      <c r="AZ20" s="103">
        <f>AY19-AY20</f>
        <v>-0.46600000094622374</v>
      </c>
      <c r="BA20" s="103">
        <v>2032138.72</v>
      </c>
      <c r="BB20" s="103">
        <f>BA19-BA20</f>
        <v>892465.17409999971</v>
      </c>
      <c r="BC20" s="104"/>
    </row>
    <row r="21" spans="1:61" s="39" customFormat="1" ht="33.75" customHeight="1" outlineLevel="1">
      <c r="A21" s="746"/>
      <c r="B21" s="748"/>
      <c r="C21" s="772" t="s">
        <v>196</v>
      </c>
      <c r="D21" s="773"/>
      <c r="E21" s="773"/>
      <c r="F21" s="773"/>
      <c r="G21" s="285"/>
      <c r="H21" s="285"/>
      <c r="I21" s="285"/>
      <c r="J21" s="285"/>
      <c r="K21" s="283"/>
      <c r="L21" s="286"/>
      <c r="M21" s="104"/>
      <c r="P21" s="68"/>
      <c r="Q21" s="105"/>
      <c r="R21" s="105"/>
      <c r="S21" s="105"/>
      <c r="T21" s="105"/>
      <c r="U21" s="105"/>
      <c r="V21" s="105"/>
      <c r="W21" s="105"/>
      <c r="X21" s="105"/>
      <c r="Y21" s="97"/>
      <c r="AA21" s="105"/>
      <c r="AB21" s="105"/>
      <c r="AC21" s="105"/>
      <c r="AD21" s="105"/>
      <c r="AE21" s="105"/>
      <c r="AF21" s="105"/>
      <c r="AG21" s="105"/>
      <c r="AH21" s="105"/>
      <c r="AI21" s="105"/>
      <c r="AJ21" s="97"/>
      <c r="AK21" s="106"/>
      <c r="AL21" s="104"/>
      <c r="AM21" s="105"/>
      <c r="AN21" s="105"/>
      <c r="AO21" s="105"/>
      <c r="AP21" s="105"/>
      <c r="AQ21" s="105"/>
      <c r="AR21" s="105"/>
      <c r="AS21" s="105"/>
      <c r="AT21" s="105"/>
      <c r="AU21" s="105"/>
      <c r="AV21" s="97"/>
      <c r="AW21" s="106"/>
      <c r="AX21" s="104"/>
      <c r="AY21" s="107">
        <f>AZ19-AY19</f>
        <v>-2663490.1800805358</v>
      </c>
      <c r="AZ21" s="107"/>
      <c r="BA21" s="107"/>
      <c r="BB21" s="107"/>
    </row>
    <row r="22" spans="1:61" s="13" customFormat="1" ht="68.25" hidden="1" customHeight="1">
      <c r="A22" s="746"/>
      <c r="B22" s="748"/>
      <c r="C22" s="287" t="s">
        <v>3</v>
      </c>
      <c r="D22" s="287"/>
      <c r="E22" s="774"/>
      <c r="F22" s="774"/>
      <c r="G22" s="287" t="s">
        <v>2</v>
      </c>
      <c r="H22" s="289" t="s">
        <v>58</v>
      </c>
      <c r="I22" s="289" t="s">
        <v>73</v>
      </c>
      <c r="J22" s="289" t="s">
        <v>74</v>
      </c>
      <c r="K22" s="289" t="s">
        <v>5</v>
      </c>
      <c r="L22" s="289" t="s">
        <v>0</v>
      </c>
      <c r="M22" s="267"/>
      <c r="P22" s="109"/>
      <c r="Q22" s="108" t="s">
        <v>3</v>
      </c>
      <c r="R22" s="775"/>
      <c r="S22" s="776"/>
      <c r="T22" s="108" t="s">
        <v>63</v>
      </c>
      <c r="U22" s="108" t="s">
        <v>2</v>
      </c>
      <c r="V22" s="74" t="s">
        <v>58</v>
      </c>
      <c r="W22" s="74" t="s">
        <v>73</v>
      </c>
      <c r="X22" s="74" t="s">
        <v>74</v>
      </c>
      <c r="Y22" s="74" t="s">
        <v>5</v>
      </c>
      <c r="Z22" s="110"/>
      <c r="AA22" s="108" t="s">
        <v>1</v>
      </c>
      <c r="AB22" s="108" t="s">
        <v>3</v>
      </c>
      <c r="AC22" s="775"/>
      <c r="AD22" s="776"/>
      <c r="AE22" s="108" t="s">
        <v>63</v>
      </c>
      <c r="AF22" s="108" t="s">
        <v>2</v>
      </c>
      <c r="AG22" s="74" t="s">
        <v>58</v>
      </c>
      <c r="AH22" s="74" t="s">
        <v>73</v>
      </c>
      <c r="AI22" s="74" t="s">
        <v>74</v>
      </c>
      <c r="AJ22" s="74" t="s">
        <v>5</v>
      </c>
      <c r="AK22" s="74" t="s">
        <v>0</v>
      </c>
      <c r="AL22" s="75"/>
      <c r="AM22" s="108" t="s">
        <v>1</v>
      </c>
      <c r="AN22" s="108" t="s">
        <v>3</v>
      </c>
      <c r="AO22" s="775"/>
      <c r="AP22" s="776"/>
      <c r="AQ22" s="108" t="s">
        <v>63</v>
      </c>
      <c r="AR22" s="108" t="s">
        <v>2</v>
      </c>
      <c r="AS22" s="74" t="s">
        <v>58</v>
      </c>
      <c r="AT22" s="74" t="s">
        <v>73</v>
      </c>
      <c r="AU22" s="74" t="s">
        <v>74</v>
      </c>
      <c r="AV22" s="74" t="s">
        <v>5</v>
      </c>
      <c r="AW22" s="74" t="s">
        <v>0</v>
      </c>
      <c r="AX22" s="76"/>
      <c r="AY22" s="111">
        <v>7190581.7300000004</v>
      </c>
      <c r="AZ22" s="112">
        <f>AY22-AY19</f>
        <v>-1077335.703999999</v>
      </c>
      <c r="BA22" s="112"/>
      <c r="BB22" s="112"/>
    </row>
    <row r="23" spans="1:61" ht="15" hidden="1" customHeight="1">
      <c r="A23" s="746"/>
      <c r="B23" s="748"/>
      <c r="C23" s="289">
        <v>2</v>
      </c>
      <c r="D23" s="289"/>
      <c r="E23" s="766"/>
      <c r="F23" s="766"/>
      <c r="G23" s="289">
        <v>4</v>
      </c>
      <c r="H23" s="289" t="s">
        <v>77</v>
      </c>
      <c r="I23" s="289">
        <v>6</v>
      </c>
      <c r="J23" s="289">
        <v>7</v>
      </c>
      <c r="K23" s="289" t="s">
        <v>60</v>
      </c>
      <c r="L23" s="289">
        <v>9</v>
      </c>
      <c r="M23" s="267"/>
      <c r="Q23" s="74">
        <v>2</v>
      </c>
      <c r="R23" s="758"/>
      <c r="S23" s="759"/>
      <c r="T23" s="74">
        <v>3</v>
      </c>
      <c r="U23" s="74">
        <v>4</v>
      </c>
      <c r="V23" s="74" t="s">
        <v>77</v>
      </c>
      <c r="W23" s="74">
        <v>6</v>
      </c>
      <c r="X23" s="74">
        <v>7</v>
      </c>
      <c r="Y23" s="74" t="s">
        <v>60</v>
      </c>
      <c r="AA23" s="74">
        <v>1</v>
      </c>
      <c r="AB23" s="74">
        <v>2</v>
      </c>
      <c r="AC23" s="758"/>
      <c r="AD23" s="759"/>
      <c r="AE23" s="74">
        <v>3</v>
      </c>
      <c r="AF23" s="74">
        <v>4</v>
      </c>
      <c r="AG23" s="74" t="s">
        <v>77</v>
      </c>
      <c r="AH23" s="74">
        <v>6</v>
      </c>
      <c r="AI23" s="74">
        <v>7</v>
      </c>
      <c r="AJ23" s="74" t="s">
        <v>60</v>
      </c>
      <c r="AK23" s="74">
        <v>9</v>
      </c>
      <c r="AL23" s="75"/>
      <c r="AM23" s="74">
        <v>1</v>
      </c>
      <c r="AN23" s="74">
        <v>2</v>
      </c>
      <c r="AO23" s="758"/>
      <c r="AP23" s="759"/>
      <c r="AQ23" s="74">
        <v>3</v>
      </c>
      <c r="AR23" s="74">
        <v>4</v>
      </c>
      <c r="AS23" s="74" t="s">
        <v>77</v>
      </c>
      <c r="AT23" s="74">
        <v>6</v>
      </c>
      <c r="AU23" s="74">
        <v>7</v>
      </c>
      <c r="AV23" s="74" t="s">
        <v>60</v>
      </c>
      <c r="AW23" s="74">
        <v>9</v>
      </c>
      <c r="AX23" s="76"/>
    </row>
    <row r="24" spans="1:61" ht="15" hidden="1" customHeight="1">
      <c r="A24" s="746"/>
      <c r="B24" s="748"/>
      <c r="C24" s="767"/>
      <c r="D24" s="767"/>
      <c r="E24" s="767"/>
      <c r="F24" s="767"/>
      <c r="G24" s="767"/>
      <c r="H24" s="767"/>
      <c r="I24" s="767"/>
      <c r="J24" s="767"/>
      <c r="K24" s="767"/>
      <c r="L24" s="767"/>
      <c r="M24" s="82"/>
      <c r="Q24" s="68"/>
      <c r="R24" s="68"/>
      <c r="S24" s="68"/>
      <c r="T24" s="68"/>
      <c r="U24" s="68"/>
      <c r="V24" s="68"/>
      <c r="W24" s="68"/>
      <c r="X24" s="68"/>
      <c r="Y24" s="68"/>
      <c r="AA24" s="751" t="s">
        <v>6</v>
      </c>
      <c r="AB24" s="751"/>
      <c r="AC24" s="751"/>
      <c r="AD24" s="751"/>
      <c r="AE24" s="751"/>
      <c r="AF24" s="751"/>
      <c r="AG24" s="751"/>
      <c r="AH24" s="751"/>
      <c r="AI24" s="751"/>
      <c r="AJ24" s="751"/>
      <c r="AK24" s="752"/>
      <c r="AL24" s="82"/>
      <c r="AM24" s="751" t="s">
        <v>6</v>
      </c>
      <c r="AN24" s="751"/>
      <c r="AO24" s="751"/>
      <c r="AP24" s="751"/>
      <c r="AQ24" s="751"/>
      <c r="AR24" s="751"/>
      <c r="AS24" s="751"/>
      <c r="AT24" s="751"/>
      <c r="AU24" s="751"/>
      <c r="AV24" s="751"/>
      <c r="AW24" s="752"/>
      <c r="AX24" s="19"/>
      <c r="BA24" s="113" t="s">
        <v>197</v>
      </c>
    </row>
    <row r="25" spans="1:61" ht="15" customHeight="1" outlineLevel="2">
      <c r="A25" s="746"/>
      <c r="B25" s="748"/>
      <c r="C25" s="235" t="e">
        <f>'расчет по услугам'!#REF!</f>
        <v>#REF!</v>
      </c>
      <c r="D25" s="238" t="e">
        <f>'расчет по услугам'!#REF!</f>
        <v>#REF!</v>
      </c>
      <c r="E25" s="780" t="e">
        <f>'расчет по услугам'!#REF!</f>
        <v>#REF!</v>
      </c>
      <c r="F25" s="781"/>
      <c r="G25" s="249">
        <f>G14</f>
        <v>48</v>
      </c>
      <c r="H25" s="291" t="e">
        <f>#REF!/G25</f>
        <v>#REF!</v>
      </c>
      <c r="I25" s="249">
        <v>1</v>
      </c>
      <c r="J25" s="252">
        <v>200</v>
      </c>
      <c r="K25" s="278">
        <f t="shared" ref="K25:K45" si="15">IFERROR(H25*J25/I25,0)</f>
        <v>0</v>
      </c>
      <c r="L25" s="782"/>
      <c r="M25" s="268"/>
      <c r="Q25" s="28" t="s">
        <v>141</v>
      </c>
      <c r="R25" s="760" t="s">
        <v>142</v>
      </c>
      <c r="S25" s="761"/>
      <c r="T25" s="116">
        <f>12/149*U25</f>
        <v>3.8657718120805367</v>
      </c>
      <c r="U25" s="27">
        <f>U14</f>
        <v>48</v>
      </c>
      <c r="V25" s="87">
        <f>T25/U25</f>
        <v>8.0536912751677847E-2</v>
      </c>
      <c r="W25" s="77">
        <v>1</v>
      </c>
      <c r="X25" s="52">
        <v>200</v>
      </c>
      <c r="Y25" s="83">
        <f t="shared" ref="Y25:Y45" si="16">IFERROR(V25*X25/W25,0)</f>
        <v>16.107382550335569</v>
      </c>
      <c r="AA25" s="88">
        <v>1</v>
      </c>
      <c r="AB25" s="28" t="s">
        <v>141</v>
      </c>
      <c r="AC25" s="760" t="s">
        <v>142</v>
      </c>
      <c r="AD25" s="761"/>
      <c r="AE25" s="116">
        <f>12/149*AF25</f>
        <v>8.1342281879194633</v>
      </c>
      <c r="AF25" s="27">
        <f>AF14</f>
        <v>101</v>
      </c>
      <c r="AG25" s="114">
        <f>AE25/AF25</f>
        <v>8.0536912751677861E-2</v>
      </c>
      <c r="AH25" s="77">
        <v>1</v>
      </c>
      <c r="AI25" s="52">
        <v>200</v>
      </c>
      <c r="AJ25" s="83">
        <f t="shared" ref="AJ25:AJ45" si="17">IFERROR(AG25*AI25/AH25,0)</f>
        <v>16.107382550335572</v>
      </c>
      <c r="AK25" s="777"/>
      <c r="AL25" s="115"/>
      <c r="AM25" s="88">
        <v>1</v>
      </c>
      <c r="AN25" s="28" t="s">
        <v>153</v>
      </c>
      <c r="AO25" s="760" t="s">
        <v>142</v>
      </c>
      <c r="AP25" s="761"/>
      <c r="AQ25" s="117">
        <v>25</v>
      </c>
      <c r="AR25" s="27">
        <v>149</v>
      </c>
      <c r="AS25" s="114">
        <f>AQ25/AR25</f>
        <v>0.16778523489932887</v>
      </c>
      <c r="AT25" s="77">
        <v>1</v>
      </c>
      <c r="AU25" s="52">
        <v>120</v>
      </c>
      <c r="AV25" s="83">
        <f t="shared" ref="AV25:AV42" si="18">IFERROR(AS25*AU25/AT25,0)</f>
        <v>20.134228187919465</v>
      </c>
      <c r="AW25" s="777"/>
      <c r="AX25" s="21"/>
      <c r="AY25" s="5">
        <f t="shared" ref="AY25:AY50" si="19">AJ25*AF25</f>
        <v>1626.8456375838928</v>
      </c>
      <c r="BA25" s="113">
        <f>AU25*AQ25</f>
        <v>3000</v>
      </c>
      <c r="BB25" s="5">
        <f>AV25*AR25</f>
        <v>3000.0000000000005</v>
      </c>
    </row>
    <row r="26" spans="1:61" ht="15" customHeight="1" outlineLevel="2">
      <c r="A26" s="746"/>
      <c r="B26" s="748"/>
      <c r="C26" s="235" t="e">
        <f>'расчет по услугам'!#REF!</f>
        <v>#REF!</v>
      </c>
      <c r="D26" s="238" t="e">
        <f>'расчет по услугам'!#REF!</f>
        <v>#REF!</v>
      </c>
      <c r="E26" s="780" t="e">
        <f>'расчет по услугам'!#REF!</f>
        <v>#REF!</v>
      </c>
      <c r="F26" s="781"/>
      <c r="G26" s="249">
        <f>G14</f>
        <v>48</v>
      </c>
      <c r="H26" s="291" t="e">
        <f>#REF!/G26</f>
        <v>#REF!</v>
      </c>
      <c r="I26" s="249">
        <v>1</v>
      </c>
      <c r="J26" s="252">
        <v>45</v>
      </c>
      <c r="K26" s="278">
        <f t="shared" si="15"/>
        <v>0</v>
      </c>
      <c r="L26" s="782"/>
      <c r="M26" s="269"/>
      <c r="Q26" s="28" t="s">
        <v>143</v>
      </c>
      <c r="R26" s="760" t="s">
        <v>142</v>
      </c>
      <c r="S26" s="761"/>
      <c r="T26" s="116">
        <f>50/149*U26</f>
        <v>16.107382550335572</v>
      </c>
      <c r="U26" s="27">
        <f>U14</f>
        <v>48</v>
      </c>
      <c r="V26" s="87">
        <f t="shared" ref="V26:V45" si="20">T26/U26</f>
        <v>0.33557046979865773</v>
      </c>
      <c r="W26" s="77">
        <v>1</v>
      </c>
      <c r="X26" s="52">
        <v>45</v>
      </c>
      <c r="Y26" s="83">
        <f t="shared" si="16"/>
        <v>15.100671140939598</v>
      </c>
      <c r="AA26" s="88">
        <v>2</v>
      </c>
      <c r="AB26" s="28" t="s">
        <v>143</v>
      </c>
      <c r="AC26" s="760" t="s">
        <v>142</v>
      </c>
      <c r="AD26" s="761"/>
      <c r="AE26" s="116">
        <f>50/149*AF26</f>
        <v>33.892617449664428</v>
      </c>
      <c r="AF26" s="27">
        <f>AF14</f>
        <v>101</v>
      </c>
      <c r="AG26" s="114">
        <f t="shared" ref="AG26:AG45" si="21">AE26/AF26</f>
        <v>0.33557046979865768</v>
      </c>
      <c r="AH26" s="77">
        <v>1</v>
      </c>
      <c r="AI26" s="52">
        <v>45</v>
      </c>
      <c r="AJ26" s="83">
        <f t="shared" si="17"/>
        <v>15.100671140939596</v>
      </c>
      <c r="AK26" s="778"/>
      <c r="AL26" s="118"/>
      <c r="AM26" s="88">
        <v>2</v>
      </c>
      <c r="AN26" s="28" t="s">
        <v>154</v>
      </c>
      <c r="AO26" s="760" t="s">
        <v>142</v>
      </c>
      <c r="AP26" s="761"/>
      <c r="AQ26" s="116">
        <v>25</v>
      </c>
      <c r="AR26" s="27">
        <f>AR25</f>
        <v>149</v>
      </c>
      <c r="AS26" s="114">
        <f t="shared" ref="AS26:AS30" si="22">AQ26/AR26</f>
        <v>0.16778523489932887</v>
      </c>
      <c r="AT26" s="77">
        <v>1</v>
      </c>
      <c r="AU26" s="52">
        <v>120</v>
      </c>
      <c r="AV26" s="83">
        <f t="shared" si="18"/>
        <v>20.134228187919465</v>
      </c>
      <c r="AW26" s="778"/>
      <c r="AX26" s="21"/>
      <c r="AY26" s="5">
        <f t="shared" si="19"/>
        <v>1525.1677852348992</v>
      </c>
      <c r="BA26" s="113">
        <f t="shared" ref="BA26:BB50" si="23">AU26*AQ26</f>
        <v>3000</v>
      </c>
      <c r="BB26" s="5">
        <f t="shared" si="23"/>
        <v>3000.0000000000005</v>
      </c>
    </row>
    <row r="27" spans="1:61" ht="15" customHeight="1" outlineLevel="2">
      <c r="A27" s="746"/>
      <c r="B27" s="748"/>
      <c r="C27" s="235" t="e">
        <f>'расчет по услугам'!#REF!</f>
        <v>#REF!</v>
      </c>
      <c r="D27" s="238" t="e">
        <f>'расчет по услугам'!#REF!</f>
        <v>#REF!</v>
      </c>
      <c r="E27" s="780" t="e">
        <f>'расчет по услугам'!#REF!</f>
        <v>#REF!</v>
      </c>
      <c r="F27" s="781"/>
      <c r="G27" s="249">
        <f>G14</f>
        <v>48</v>
      </c>
      <c r="H27" s="291" t="e">
        <f>#REF!/G27</f>
        <v>#REF!</v>
      </c>
      <c r="I27" s="249">
        <v>1</v>
      </c>
      <c r="J27" s="252">
        <v>700</v>
      </c>
      <c r="K27" s="278">
        <f t="shared" si="15"/>
        <v>0</v>
      </c>
      <c r="L27" s="782"/>
      <c r="M27" s="269"/>
      <c r="Q27" s="28" t="s">
        <v>198</v>
      </c>
      <c r="R27" s="760" t="s">
        <v>142</v>
      </c>
      <c r="S27" s="761"/>
      <c r="T27" s="116">
        <f>6/149*U27</f>
        <v>1.9328859060402683</v>
      </c>
      <c r="U27" s="27">
        <f>U14</f>
        <v>48</v>
      </c>
      <c r="V27" s="87">
        <f t="shared" si="20"/>
        <v>4.0268456375838924E-2</v>
      </c>
      <c r="W27" s="77">
        <v>1</v>
      </c>
      <c r="X27" s="52">
        <v>700</v>
      </c>
      <c r="Y27" s="83">
        <f t="shared" si="16"/>
        <v>28.187919463087248</v>
      </c>
      <c r="AA27" s="88">
        <v>3</v>
      </c>
      <c r="AB27" s="28" t="s">
        <v>198</v>
      </c>
      <c r="AC27" s="760" t="s">
        <v>142</v>
      </c>
      <c r="AD27" s="761"/>
      <c r="AE27" s="116">
        <f>6/149*AF27</f>
        <v>4.0671140939597317</v>
      </c>
      <c r="AF27" s="27">
        <f>AF14</f>
        <v>101</v>
      </c>
      <c r="AG27" s="114">
        <f t="shared" si="21"/>
        <v>4.0268456375838931E-2</v>
      </c>
      <c r="AH27" s="77">
        <v>1</v>
      </c>
      <c r="AI27" s="52">
        <v>700</v>
      </c>
      <c r="AJ27" s="83">
        <f t="shared" si="17"/>
        <v>28.187919463087251</v>
      </c>
      <c r="AK27" s="778"/>
      <c r="AL27" s="118"/>
      <c r="AM27" s="88">
        <v>3</v>
      </c>
      <c r="AN27" s="28" t="s">
        <v>155</v>
      </c>
      <c r="AO27" s="760" t="s">
        <v>142</v>
      </c>
      <c r="AP27" s="761"/>
      <c r="AQ27" s="116">
        <v>25</v>
      </c>
      <c r="AR27" s="27">
        <f t="shared" ref="AR27:AR30" si="24">AR26</f>
        <v>149</v>
      </c>
      <c r="AS27" s="114">
        <f t="shared" si="22"/>
        <v>0.16778523489932887</v>
      </c>
      <c r="AT27" s="77">
        <v>1</v>
      </c>
      <c r="AU27" s="52">
        <v>100</v>
      </c>
      <c r="AV27" s="83">
        <f t="shared" si="18"/>
        <v>16.778523489932887</v>
      </c>
      <c r="AW27" s="778"/>
      <c r="AX27" s="21"/>
      <c r="AY27" s="5">
        <f t="shared" si="19"/>
        <v>2846.9798657718125</v>
      </c>
      <c r="BA27" s="113">
        <f t="shared" si="23"/>
        <v>2500</v>
      </c>
      <c r="BB27" s="5">
        <f t="shared" si="23"/>
        <v>2500</v>
      </c>
    </row>
    <row r="28" spans="1:61" ht="15" customHeight="1" outlineLevel="2">
      <c r="A28" s="746"/>
      <c r="B28" s="748"/>
      <c r="C28" s="235" t="e">
        <f>'расчет по услугам'!#REF!</f>
        <v>#REF!</v>
      </c>
      <c r="D28" s="238" t="e">
        <f>'расчет по услугам'!#REF!</f>
        <v>#REF!</v>
      </c>
      <c r="E28" s="780" t="e">
        <f>'расчет по услугам'!#REF!</f>
        <v>#REF!</v>
      </c>
      <c r="F28" s="781"/>
      <c r="G28" s="249">
        <f>G14</f>
        <v>48</v>
      </c>
      <c r="H28" s="291" t="e">
        <f>#REF!/G28</f>
        <v>#REF!</v>
      </c>
      <c r="I28" s="249">
        <v>1</v>
      </c>
      <c r="J28" s="252">
        <v>500</v>
      </c>
      <c r="K28" s="278">
        <f t="shared" si="15"/>
        <v>0</v>
      </c>
      <c r="L28" s="782"/>
      <c r="M28" s="269"/>
      <c r="Q28" s="28" t="s">
        <v>199</v>
      </c>
      <c r="R28" s="760" t="s">
        <v>142</v>
      </c>
      <c r="S28" s="761"/>
      <c r="T28" s="116">
        <f>7/149*U28</f>
        <v>2.2550335570469802</v>
      </c>
      <c r="U28" s="27">
        <f>U14</f>
        <v>48</v>
      </c>
      <c r="V28" s="87">
        <f t="shared" si="20"/>
        <v>4.6979865771812089E-2</v>
      </c>
      <c r="W28" s="77">
        <v>1</v>
      </c>
      <c r="X28" s="52">
        <v>500</v>
      </c>
      <c r="Y28" s="83">
        <f t="shared" si="16"/>
        <v>23.489932885906043</v>
      </c>
      <c r="AA28" s="88">
        <v>4</v>
      </c>
      <c r="AB28" s="28" t="s">
        <v>199</v>
      </c>
      <c r="AC28" s="760" t="s">
        <v>142</v>
      </c>
      <c r="AD28" s="761"/>
      <c r="AE28" s="116">
        <f>7/149*AF28</f>
        <v>4.7449664429530207</v>
      </c>
      <c r="AF28" s="27">
        <f>AF14</f>
        <v>101</v>
      </c>
      <c r="AG28" s="114">
        <f t="shared" si="21"/>
        <v>4.6979865771812089E-2</v>
      </c>
      <c r="AH28" s="77">
        <v>1</v>
      </c>
      <c r="AI28" s="52">
        <v>500</v>
      </c>
      <c r="AJ28" s="83">
        <f t="shared" si="17"/>
        <v>23.489932885906043</v>
      </c>
      <c r="AK28" s="778"/>
      <c r="AL28" s="118"/>
      <c r="AM28" s="88">
        <v>4</v>
      </c>
      <c r="AN28" s="28" t="s">
        <v>156</v>
      </c>
      <c r="AO28" s="760" t="s">
        <v>142</v>
      </c>
      <c r="AP28" s="761"/>
      <c r="AQ28" s="116">
        <v>2</v>
      </c>
      <c r="AR28" s="27">
        <f t="shared" si="24"/>
        <v>149</v>
      </c>
      <c r="AS28" s="114">
        <f t="shared" si="22"/>
        <v>1.3422818791946308E-2</v>
      </c>
      <c r="AT28" s="77">
        <v>1</v>
      </c>
      <c r="AU28" s="52">
        <v>3000</v>
      </c>
      <c r="AV28" s="83">
        <f t="shared" si="18"/>
        <v>40.268456375838923</v>
      </c>
      <c r="AW28" s="778"/>
      <c r="AX28" s="21"/>
      <c r="AY28" s="5">
        <f t="shared" si="19"/>
        <v>2372.4832214765102</v>
      </c>
      <c r="BA28" s="113">
        <f t="shared" si="23"/>
        <v>6000</v>
      </c>
      <c r="BB28" s="5">
        <f t="shared" si="23"/>
        <v>6000</v>
      </c>
    </row>
    <row r="29" spans="1:61" ht="15" customHeight="1" outlineLevel="2">
      <c r="A29" s="746"/>
      <c r="B29" s="748"/>
      <c r="C29" s="235" t="e">
        <f>'расчет по услугам'!#REF!</f>
        <v>#REF!</v>
      </c>
      <c r="D29" s="238" t="e">
        <f>'расчет по услугам'!#REF!</f>
        <v>#REF!</v>
      </c>
      <c r="E29" s="780" t="e">
        <f>'расчет по услугам'!#REF!</f>
        <v>#REF!</v>
      </c>
      <c r="F29" s="781"/>
      <c r="G29" s="249">
        <f>G14</f>
        <v>48</v>
      </c>
      <c r="H29" s="291" t="e">
        <f>#REF!/G29</f>
        <v>#REF!</v>
      </c>
      <c r="I29" s="249">
        <v>1</v>
      </c>
      <c r="J29" s="252">
        <v>140</v>
      </c>
      <c r="K29" s="278">
        <f t="shared" si="15"/>
        <v>0</v>
      </c>
      <c r="L29" s="782"/>
      <c r="M29" s="269"/>
      <c r="Q29" s="28" t="s">
        <v>144</v>
      </c>
      <c r="R29" s="760" t="s">
        <v>142</v>
      </c>
      <c r="S29" s="761"/>
      <c r="T29" s="116">
        <f>10/149*U29</f>
        <v>3.2214765100671139</v>
      </c>
      <c r="U29" s="27">
        <f>U14</f>
        <v>48</v>
      </c>
      <c r="V29" s="87">
        <f t="shared" si="20"/>
        <v>6.7114093959731544E-2</v>
      </c>
      <c r="W29" s="77">
        <v>1</v>
      </c>
      <c r="X29" s="52">
        <v>140</v>
      </c>
      <c r="Y29" s="83">
        <f t="shared" si="16"/>
        <v>9.3959731543624159</v>
      </c>
      <c r="AA29" s="88">
        <v>5</v>
      </c>
      <c r="AB29" s="28" t="s">
        <v>144</v>
      </c>
      <c r="AC29" s="760" t="s">
        <v>142</v>
      </c>
      <c r="AD29" s="761"/>
      <c r="AE29" s="116">
        <f>10/149*AF29</f>
        <v>6.7785234899328861</v>
      </c>
      <c r="AF29" s="27">
        <f>AF14</f>
        <v>101</v>
      </c>
      <c r="AG29" s="114">
        <f t="shared" si="21"/>
        <v>6.7114093959731544E-2</v>
      </c>
      <c r="AH29" s="77">
        <v>1</v>
      </c>
      <c r="AI29" s="52">
        <v>140</v>
      </c>
      <c r="AJ29" s="83">
        <f t="shared" si="17"/>
        <v>9.3959731543624159</v>
      </c>
      <c r="AK29" s="778"/>
      <c r="AL29" s="118"/>
      <c r="AM29" s="88">
        <v>5</v>
      </c>
      <c r="AN29" s="28" t="s">
        <v>157</v>
      </c>
      <c r="AO29" s="760" t="s">
        <v>142</v>
      </c>
      <c r="AP29" s="761"/>
      <c r="AQ29" s="116">
        <v>5</v>
      </c>
      <c r="AR29" s="27">
        <f t="shared" si="24"/>
        <v>149</v>
      </c>
      <c r="AS29" s="114">
        <f t="shared" si="22"/>
        <v>3.3557046979865772E-2</v>
      </c>
      <c r="AT29" s="77">
        <v>1</v>
      </c>
      <c r="AU29" s="52">
        <v>500</v>
      </c>
      <c r="AV29" s="83">
        <f t="shared" si="18"/>
        <v>16.778523489932887</v>
      </c>
      <c r="AW29" s="778"/>
      <c r="AX29" s="21"/>
      <c r="AY29" s="5">
        <f t="shared" si="19"/>
        <v>948.99328859060404</v>
      </c>
      <c r="BA29" s="113">
        <f t="shared" si="23"/>
        <v>2500</v>
      </c>
      <c r="BB29" s="5">
        <f t="shared" si="23"/>
        <v>2500</v>
      </c>
    </row>
    <row r="30" spans="1:61" ht="15" customHeight="1" outlineLevel="2">
      <c r="A30" s="746"/>
      <c r="B30" s="748"/>
      <c r="C30" s="235" t="e">
        <f>'расчет по услугам'!#REF!</f>
        <v>#REF!</v>
      </c>
      <c r="D30" s="238" t="e">
        <f>'расчет по услугам'!#REF!</f>
        <v>#REF!</v>
      </c>
      <c r="E30" s="780" t="e">
        <f>'расчет по услугам'!#REF!</f>
        <v>#REF!</v>
      </c>
      <c r="F30" s="781"/>
      <c r="G30" s="249">
        <f>G14</f>
        <v>48</v>
      </c>
      <c r="H30" s="291" t="e">
        <f>#REF!/G30</f>
        <v>#REF!</v>
      </c>
      <c r="I30" s="249">
        <v>1</v>
      </c>
      <c r="J30" s="252">
        <v>450</v>
      </c>
      <c r="K30" s="278">
        <f t="shared" si="15"/>
        <v>0</v>
      </c>
      <c r="L30" s="782"/>
      <c r="M30" s="269"/>
      <c r="Q30" s="28" t="s">
        <v>145</v>
      </c>
      <c r="R30" s="760" t="s">
        <v>142</v>
      </c>
      <c r="S30" s="761"/>
      <c r="T30" s="116">
        <f>20/149*U30</f>
        <v>6.4429530201342278</v>
      </c>
      <c r="U30" s="27">
        <f>U14</f>
        <v>48</v>
      </c>
      <c r="V30" s="87">
        <f t="shared" si="20"/>
        <v>0.13422818791946309</v>
      </c>
      <c r="W30" s="77">
        <v>1</v>
      </c>
      <c r="X30" s="52">
        <v>450</v>
      </c>
      <c r="Y30" s="83">
        <f t="shared" si="16"/>
        <v>60.402684563758392</v>
      </c>
      <c r="AA30" s="88">
        <v>6</v>
      </c>
      <c r="AB30" s="28" t="s">
        <v>145</v>
      </c>
      <c r="AC30" s="760" t="s">
        <v>142</v>
      </c>
      <c r="AD30" s="761"/>
      <c r="AE30" s="116">
        <f>20/149*AF30</f>
        <v>13.557046979865772</v>
      </c>
      <c r="AF30" s="27">
        <f>AF14</f>
        <v>101</v>
      </c>
      <c r="AG30" s="114">
        <f t="shared" si="21"/>
        <v>0.13422818791946309</v>
      </c>
      <c r="AH30" s="77">
        <v>1</v>
      </c>
      <c r="AI30" s="52">
        <v>450</v>
      </c>
      <c r="AJ30" s="83">
        <f t="shared" si="17"/>
        <v>60.402684563758392</v>
      </c>
      <c r="AK30" s="778"/>
      <c r="AL30" s="118"/>
      <c r="AM30" s="88">
        <v>6</v>
      </c>
      <c r="AN30" s="28" t="s">
        <v>200</v>
      </c>
      <c r="AO30" s="760" t="s">
        <v>142</v>
      </c>
      <c r="AP30" s="761"/>
      <c r="AQ30" s="116">
        <v>6</v>
      </c>
      <c r="AR30" s="27">
        <f t="shared" si="24"/>
        <v>149</v>
      </c>
      <c r="AS30" s="114">
        <f t="shared" si="22"/>
        <v>4.0268456375838924E-2</v>
      </c>
      <c r="AT30" s="77">
        <v>1</v>
      </c>
      <c r="AU30" s="52">
        <v>200</v>
      </c>
      <c r="AV30" s="83">
        <f t="shared" si="18"/>
        <v>8.0536912751677843</v>
      </c>
      <c r="AW30" s="778"/>
      <c r="AX30" s="21"/>
      <c r="AY30" s="5">
        <f t="shared" si="19"/>
        <v>6100.6711409395975</v>
      </c>
      <c r="BA30" s="113">
        <f t="shared" si="23"/>
        <v>1200</v>
      </c>
      <c r="BB30" s="5">
        <f>AV30*AR30</f>
        <v>1199.9999999999998</v>
      </c>
    </row>
    <row r="31" spans="1:61" ht="19.5" customHeight="1" outlineLevel="2">
      <c r="A31" s="746"/>
      <c r="B31" s="748"/>
      <c r="C31" s="235" t="e">
        <f>'расчет по услугам'!#REF!</f>
        <v>#REF!</v>
      </c>
      <c r="D31" s="238" t="e">
        <f>'расчет по услугам'!#REF!</f>
        <v>#REF!</v>
      </c>
      <c r="E31" s="780" t="e">
        <f>'расчет по услугам'!#REF!</f>
        <v>#REF!</v>
      </c>
      <c r="F31" s="781"/>
      <c r="G31" s="249">
        <f>G14</f>
        <v>48</v>
      </c>
      <c r="H31" s="291" t="e">
        <f>#REF!/G31</f>
        <v>#REF!</v>
      </c>
      <c r="I31" s="249">
        <v>1</v>
      </c>
      <c r="J31" s="252">
        <v>850</v>
      </c>
      <c r="K31" s="278">
        <f t="shared" si="15"/>
        <v>0</v>
      </c>
      <c r="L31" s="782"/>
      <c r="M31" s="269"/>
      <c r="Q31" s="28" t="s">
        <v>146</v>
      </c>
      <c r="R31" s="760" t="s">
        <v>142</v>
      </c>
      <c r="S31" s="761"/>
      <c r="T31" s="116">
        <f>18/149*U31</f>
        <v>5.7986577181208059</v>
      </c>
      <c r="U31" s="27">
        <f>U14</f>
        <v>48</v>
      </c>
      <c r="V31" s="87">
        <f t="shared" si="20"/>
        <v>0.12080536912751678</v>
      </c>
      <c r="W31" s="77">
        <v>1</v>
      </c>
      <c r="X31" s="52">
        <v>850</v>
      </c>
      <c r="Y31" s="83">
        <f t="shared" si="16"/>
        <v>102.68456375838927</v>
      </c>
      <c r="AA31" s="88">
        <v>7</v>
      </c>
      <c r="AB31" s="28" t="s">
        <v>146</v>
      </c>
      <c r="AC31" s="760" t="s">
        <v>142</v>
      </c>
      <c r="AD31" s="761"/>
      <c r="AE31" s="116">
        <f>18/149*AF31</f>
        <v>12.201342281879196</v>
      </c>
      <c r="AF31" s="27">
        <f>AF14</f>
        <v>101</v>
      </c>
      <c r="AG31" s="114">
        <f t="shared" si="21"/>
        <v>0.12080536912751678</v>
      </c>
      <c r="AH31" s="77">
        <v>1</v>
      </c>
      <c r="AI31" s="52">
        <v>850</v>
      </c>
      <c r="AJ31" s="83">
        <f t="shared" si="17"/>
        <v>102.68456375838927</v>
      </c>
      <c r="AK31" s="778"/>
      <c r="AL31" s="118"/>
      <c r="AM31" s="88">
        <v>7</v>
      </c>
      <c r="AN31" s="28" t="s">
        <v>201</v>
      </c>
      <c r="AO31" s="760" t="s">
        <v>142</v>
      </c>
      <c r="AP31" s="761"/>
      <c r="AQ31" s="117">
        <v>12</v>
      </c>
      <c r="AR31" s="27">
        <v>149</v>
      </c>
      <c r="AS31" s="114">
        <f>AQ31/AR31</f>
        <v>8.0536912751677847E-2</v>
      </c>
      <c r="AT31" s="77">
        <v>1</v>
      </c>
      <c r="AU31" s="52">
        <v>900</v>
      </c>
      <c r="AV31" s="83">
        <f t="shared" si="18"/>
        <v>72.483221476510067</v>
      </c>
      <c r="AW31" s="778"/>
      <c r="AX31" s="21"/>
      <c r="AY31" s="5">
        <f t="shared" si="19"/>
        <v>10371.140939597317</v>
      </c>
      <c r="BA31" s="113">
        <f t="shared" si="23"/>
        <v>10800</v>
      </c>
      <c r="BB31" s="5">
        <f t="shared" si="23"/>
        <v>10800</v>
      </c>
    </row>
    <row r="32" spans="1:61" ht="15" customHeight="1" outlineLevel="2">
      <c r="A32" s="746"/>
      <c r="B32" s="748"/>
      <c r="C32" s="235" t="e">
        <f>'расчет по услугам'!#REF!</f>
        <v>#REF!</v>
      </c>
      <c r="D32" s="238" t="e">
        <f>'расчет по услугам'!#REF!</f>
        <v>#REF!</v>
      </c>
      <c r="E32" s="780" t="e">
        <f>'расчет по услугам'!#REF!</f>
        <v>#REF!</v>
      </c>
      <c r="F32" s="781"/>
      <c r="G32" s="249">
        <f>G14</f>
        <v>48</v>
      </c>
      <c r="H32" s="291" t="e">
        <f>#REF!/G32</f>
        <v>#REF!</v>
      </c>
      <c r="I32" s="249">
        <v>1</v>
      </c>
      <c r="J32" s="252">
        <v>8</v>
      </c>
      <c r="K32" s="278">
        <f t="shared" si="15"/>
        <v>0</v>
      </c>
      <c r="L32" s="782"/>
      <c r="M32" s="269"/>
      <c r="Q32" s="28" t="s">
        <v>202</v>
      </c>
      <c r="R32" s="760" t="s">
        <v>142</v>
      </c>
      <c r="S32" s="761"/>
      <c r="T32" s="116">
        <f>1000/149*U32</f>
        <v>322.14765100671138</v>
      </c>
      <c r="U32" s="27">
        <f>U14</f>
        <v>48</v>
      </c>
      <c r="V32" s="87">
        <f t="shared" si="20"/>
        <v>6.7114093959731536</v>
      </c>
      <c r="W32" s="77">
        <v>1</v>
      </c>
      <c r="X32" s="52">
        <v>8</v>
      </c>
      <c r="Y32" s="83">
        <f t="shared" si="16"/>
        <v>53.691275167785228</v>
      </c>
      <c r="AA32" s="88">
        <v>8</v>
      </c>
      <c r="AB32" s="28" t="s">
        <v>202</v>
      </c>
      <c r="AC32" s="760" t="s">
        <v>142</v>
      </c>
      <c r="AD32" s="761"/>
      <c r="AE32" s="116">
        <f>1000/149*AF32</f>
        <v>677.85234899328862</v>
      </c>
      <c r="AF32" s="27">
        <f>AF14</f>
        <v>101</v>
      </c>
      <c r="AG32" s="114">
        <f t="shared" si="21"/>
        <v>6.7114093959731544</v>
      </c>
      <c r="AH32" s="77">
        <v>1</v>
      </c>
      <c r="AI32" s="52">
        <v>8</v>
      </c>
      <c r="AJ32" s="83">
        <f t="shared" si="17"/>
        <v>53.691275167785236</v>
      </c>
      <c r="AK32" s="778"/>
      <c r="AL32" s="118"/>
      <c r="AM32" s="88">
        <v>8</v>
      </c>
      <c r="AN32" s="28" t="s">
        <v>203</v>
      </c>
      <c r="AO32" s="760" t="s">
        <v>142</v>
      </c>
      <c r="AP32" s="761"/>
      <c r="AQ32" s="116">
        <v>4</v>
      </c>
      <c r="AR32" s="27">
        <f>AR31</f>
        <v>149</v>
      </c>
      <c r="AS32" s="114">
        <f t="shared" ref="AS32:AS42" si="25">AQ32/AR32</f>
        <v>2.6845637583892617E-2</v>
      </c>
      <c r="AT32" s="77">
        <v>1</v>
      </c>
      <c r="AU32" s="52">
        <v>450</v>
      </c>
      <c r="AV32" s="83">
        <f t="shared" si="18"/>
        <v>12.080536912751677</v>
      </c>
      <c r="AW32" s="778"/>
      <c r="AX32" s="21"/>
      <c r="AY32" s="5">
        <f t="shared" si="19"/>
        <v>5422.8187919463089</v>
      </c>
      <c r="BA32" s="113">
        <f>AU32*AQ32</f>
        <v>1800</v>
      </c>
      <c r="BB32" s="5">
        <f t="shared" si="23"/>
        <v>1800</v>
      </c>
    </row>
    <row r="33" spans="1:54" ht="15" customHeight="1" outlineLevel="2">
      <c r="A33" s="746"/>
      <c r="B33" s="748"/>
      <c r="C33" s="235" t="e">
        <f>'расчет по услугам'!#REF!</f>
        <v>#REF!</v>
      </c>
      <c r="D33" s="238" t="e">
        <f>'расчет по услугам'!#REF!</f>
        <v>#REF!</v>
      </c>
      <c r="E33" s="780" t="e">
        <f>'расчет по услугам'!#REF!</f>
        <v>#REF!</v>
      </c>
      <c r="F33" s="781"/>
      <c r="G33" s="249">
        <f>G14</f>
        <v>48</v>
      </c>
      <c r="H33" s="291" t="e">
        <f>#REF!/G33</f>
        <v>#REF!</v>
      </c>
      <c r="I33" s="249">
        <v>1</v>
      </c>
      <c r="J33" s="252">
        <v>2</v>
      </c>
      <c r="K33" s="278">
        <f t="shared" si="15"/>
        <v>0</v>
      </c>
      <c r="L33" s="782"/>
      <c r="M33" s="269"/>
      <c r="Q33" s="28" t="s">
        <v>204</v>
      </c>
      <c r="R33" s="760" t="s">
        <v>142</v>
      </c>
      <c r="S33" s="761"/>
      <c r="T33" s="116">
        <f>35/149*U33</f>
        <v>11.275167785234899</v>
      </c>
      <c r="U33" s="27">
        <f>U14</f>
        <v>48</v>
      </c>
      <c r="V33" s="87">
        <f t="shared" si="20"/>
        <v>0.2348993288590604</v>
      </c>
      <c r="W33" s="77">
        <v>1</v>
      </c>
      <c r="X33" s="52">
        <v>2</v>
      </c>
      <c r="Y33" s="83">
        <f t="shared" si="16"/>
        <v>0.46979865771812079</v>
      </c>
      <c r="AA33" s="88">
        <v>9</v>
      </c>
      <c r="AB33" s="28" t="s">
        <v>204</v>
      </c>
      <c r="AC33" s="760" t="s">
        <v>142</v>
      </c>
      <c r="AD33" s="761"/>
      <c r="AE33" s="116">
        <f>35/149*AF33</f>
        <v>23.724832214765101</v>
      </c>
      <c r="AF33" s="27">
        <f>AF14</f>
        <v>101</v>
      </c>
      <c r="AG33" s="114">
        <f t="shared" si="21"/>
        <v>0.2348993288590604</v>
      </c>
      <c r="AH33" s="77">
        <v>1</v>
      </c>
      <c r="AI33" s="52">
        <v>2</v>
      </c>
      <c r="AJ33" s="83">
        <f t="shared" si="17"/>
        <v>0.46979865771812079</v>
      </c>
      <c r="AK33" s="778"/>
      <c r="AL33" s="118"/>
      <c r="AM33" s="88">
        <v>9</v>
      </c>
      <c r="AN33" s="28" t="s">
        <v>205</v>
      </c>
      <c r="AO33" s="760" t="s">
        <v>142</v>
      </c>
      <c r="AP33" s="761"/>
      <c r="AQ33" s="116">
        <v>10</v>
      </c>
      <c r="AR33" s="27">
        <f t="shared" ref="AR33:AR39" si="26">AR32</f>
        <v>149</v>
      </c>
      <c r="AS33" s="114">
        <f t="shared" si="25"/>
        <v>6.7114093959731544E-2</v>
      </c>
      <c r="AT33" s="77">
        <v>1</v>
      </c>
      <c r="AU33" s="52">
        <v>410</v>
      </c>
      <c r="AV33" s="83">
        <f t="shared" si="18"/>
        <v>27.516778523489933</v>
      </c>
      <c r="AW33" s="778"/>
      <c r="AX33" s="21"/>
      <c r="AY33" s="5">
        <f t="shared" si="19"/>
        <v>47.449664429530202</v>
      </c>
      <c r="BA33" s="113">
        <f t="shared" si="23"/>
        <v>4100</v>
      </c>
      <c r="BB33" s="5">
        <f t="shared" si="23"/>
        <v>4100</v>
      </c>
    </row>
    <row r="34" spans="1:54" ht="15" customHeight="1" outlineLevel="2">
      <c r="A34" s="746"/>
      <c r="B34" s="748"/>
      <c r="C34" s="235" t="e">
        <f>'расчет по услугам'!#REF!</f>
        <v>#REF!</v>
      </c>
      <c r="D34" s="238" t="e">
        <f>'расчет по услугам'!#REF!</f>
        <v>#REF!</v>
      </c>
      <c r="E34" s="780" t="e">
        <f>'расчет по услугам'!#REF!</f>
        <v>#REF!</v>
      </c>
      <c r="F34" s="781"/>
      <c r="G34" s="249">
        <f>G14</f>
        <v>48</v>
      </c>
      <c r="H34" s="291" t="e">
        <f>#REF!/G34</f>
        <v>#REF!</v>
      </c>
      <c r="I34" s="249">
        <v>1</v>
      </c>
      <c r="J34" s="252">
        <v>45</v>
      </c>
      <c r="K34" s="278">
        <f t="shared" si="15"/>
        <v>0</v>
      </c>
      <c r="L34" s="782"/>
      <c r="M34" s="269"/>
      <c r="Q34" s="28" t="s">
        <v>206</v>
      </c>
      <c r="R34" s="760" t="s">
        <v>147</v>
      </c>
      <c r="S34" s="761"/>
      <c r="T34" s="116">
        <f>145/149*U34</f>
        <v>46.711409395973156</v>
      </c>
      <c r="U34" s="27">
        <f>U14</f>
        <v>48</v>
      </c>
      <c r="V34" s="87">
        <f t="shared" si="20"/>
        <v>0.97315436241610742</v>
      </c>
      <c r="W34" s="77">
        <v>1</v>
      </c>
      <c r="X34" s="52">
        <v>45</v>
      </c>
      <c r="Y34" s="83">
        <f t="shared" si="16"/>
        <v>43.791946308724832</v>
      </c>
      <c r="AA34" s="88">
        <v>10</v>
      </c>
      <c r="AB34" s="28" t="s">
        <v>206</v>
      </c>
      <c r="AC34" s="760" t="s">
        <v>147</v>
      </c>
      <c r="AD34" s="761"/>
      <c r="AE34" s="116">
        <f>145/149*AF34</f>
        <v>98.288590604026851</v>
      </c>
      <c r="AF34" s="27">
        <f>AF14</f>
        <v>101</v>
      </c>
      <c r="AG34" s="114">
        <f t="shared" si="21"/>
        <v>0.97315436241610742</v>
      </c>
      <c r="AH34" s="77">
        <v>1</v>
      </c>
      <c r="AI34" s="52">
        <v>45</v>
      </c>
      <c r="AJ34" s="83">
        <f t="shared" si="17"/>
        <v>43.791946308724832</v>
      </c>
      <c r="AK34" s="778"/>
      <c r="AL34" s="118"/>
      <c r="AM34" s="88">
        <v>10</v>
      </c>
      <c r="AN34" s="28" t="s">
        <v>207</v>
      </c>
      <c r="AO34" s="760" t="s">
        <v>142</v>
      </c>
      <c r="AP34" s="761"/>
      <c r="AQ34" s="116">
        <v>10</v>
      </c>
      <c r="AR34" s="27">
        <f t="shared" si="26"/>
        <v>149</v>
      </c>
      <c r="AS34" s="114">
        <f t="shared" si="25"/>
        <v>6.7114093959731544E-2</v>
      </c>
      <c r="AT34" s="77">
        <v>1</v>
      </c>
      <c r="AU34" s="52">
        <v>330</v>
      </c>
      <c r="AV34" s="83">
        <f t="shared" si="18"/>
        <v>22.14765100671141</v>
      </c>
      <c r="AW34" s="778"/>
      <c r="AX34" s="21"/>
      <c r="AY34" s="5">
        <f t="shared" si="19"/>
        <v>4422.9865771812083</v>
      </c>
      <c r="BA34" s="113">
        <f t="shared" si="23"/>
        <v>3300</v>
      </c>
      <c r="BB34" s="5">
        <f t="shared" si="23"/>
        <v>3300</v>
      </c>
    </row>
    <row r="35" spans="1:54" ht="18" customHeight="1" outlineLevel="2">
      <c r="A35" s="746"/>
      <c r="B35" s="748"/>
      <c r="C35" s="235" t="e">
        <f>'расчет по услугам'!#REF!</f>
        <v>#REF!</v>
      </c>
      <c r="D35" s="238" t="e">
        <f>'расчет по услугам'!#REF!</f>
        <v>#REF!</v>
      </c>
      <c r="E35" s="780" t="e">
        <f>'расчет по услугам'!#REF!</f>
        <v>#REF!</v>
      </c>
      <c r="F35" s="781"/>
      <c r="G35" s="249">
        <f>G14</f>
        <v>48</v>
      </c>
      <c r="H35" s="291" t="e">
        <f>#REF!/G35</f>
        <v>#REF!</v>
      </c>
      <c r="I35" s="249">
        <v>1</v>
      </c>
      <c r="J35" s="252">
        <v>120</v>
      </c>
      <c r="K35" s="278">
        <f t="shared" si="15"/>
        <v>0</v>
      </c>
      <c r="L35" s="782"/>
      <c r="M35" s="269"/>
      <c r="Q35" s="28" t="s">
        <v>208</v>
      </c>
      <c r="R35" s="760" t="s">
        <v>147</v>
      </c>
      <c r="S35" s="761"/>
      <c r="T35" s="116">
        <f>145/149*U35</f>
        <v>46.711409395973156</v>
      </c>
      <c r="U35" s="27">
        <f>U14</f>
        <v>48</v>
      </c>
      <c r="V35" s="87">
        <f t="shared" si="20"/>
        <v>0.97315436241610742</v>
      </c>
      <c r="W35" s="77">
        <v>1</v>
      </c>
      <c r="X35" s="52">
        <v>120</v>
      </c>
      <c r="Y35" s="83">
        <f t="shared" si="16"/>
        <v>116.77852348993289</v>
      </c>
      <c r="AA35" s="88">
        <v>11</v>
      </c>
      <c r="AB35" s="28" t="s">
        <v>208</v>
      </c>
      <c r="AC35" s="760" t="s">
        <v>147</v>
      </c>
      <c r="AD35" s="761"/>
      <c r="AE35" s="116">
        <f>145/149*AF35</f>
        <v>98.288590604026851</v>
      </c>
      <c r="AF35" s="27">
        <f>AF14</f>
        <v>101</v>
      </c>
      <c r="AG35" s="114">
        <f t="shared" si="21"/>
        <v>0.97315436241610742</v>
      </c>
      <c r="AH35" s="77">
        <v>1</v>
      </c>
      <c r="AI35" s="52">
        <v>120</v>
      </c>
      <c r="AJ35" s="83">
        <f t="shared" si="17"/>
        <v>116.77852348993289</v>
      </c>
      <c r="AK35" s="778"/>
      <c r="AL35" s="118"/>
      <c r="AM35" s="88">
        <v>11</v>
      </c>
      <c r="AN35" s="28" t="s">
        <v>209</v>
      </c>
      <c r="AO35" s="760" t="s">
        <v>142</v>
      </c>
      <c r="AP35" s="761"/>
      <c r="AQ35" s="116">
        <v>25</v>
      </c>
      <c r="AR35" s="27">
        <f t="shared" si="26"/>
        <v>149</v>
      </c>
      <c r="AS35" s="114">
        <f t="shared" si="25"/>
        <v>0.16778523489932887</v>
      </c>
      <c r="AT35" s="77">
        <v>1</v>
      </c>
      <c r="AU35" s="52">
        <v>145</v>
      </c>
      <c r="AV35" s="83">
        <f t="shared" si="18"/>
        <v>24.328859060402685</v>
      </c>
      <c r="AW35" s="778"/>
      <c r="AX35" s="21"/>
      <c r="AY35" s="5">
        <f t="shared" si="19"/>
        <v>11794.630872483222</v>
      </c>
      <c r="BA35" s="113">
        <f t="shared" si="23"/>
        <v>3625</v>
      </c>
      <c r="BB35" s="5">
        <f t="shared" si="23"/>
        <v>3625</v>
      </c>
    </row>
    <row r="36" spans="1:54" ht="15" customHeight="1" outlineLevel="2">
      <c r="A36" s="746"/>
      <c r="B36" s="748"/>
      <c r="C36" s="235" t="e">
        <f>'расчет по услугам'!#REF!</f>
        <v>#REF!</v>
      </c>
      <c r="D36" s="238" t="e">
        <f>'расчет по услугам'!#REF!</f>
        <v>#REF!</v>
      </c>
      <c r="E36" s="780" t="e">
        <f>'расчет по услугам'!#REF!</f>
        <v>#REF!</v>
      </c>
      <c r="F36" s="781"/>
      <c r="G36" s="249">
        <f>G14</f>
        <v>48</v>
      </c>
      <c r="H36" s="291" t="e">
        <f>#REF!/G36</f>
        <v>#REF!</v>
      </c>
      <c r="I36" s="249">
        <v>1</v>
      </c>
      <c r="J36" s="252">
        <v>70</v>
      </c>
      <c r="K36" s="278">
        <f t="shared" si="15"/>
        <v>0</v>
      </c>
      <c r="L36" s="782"/>
      <c r="M36" s="269"/>
      <c r="Q36" s="28" t="s">
        <v>210</v>
      </c>
      <c r="R36" s="760" t="s">
        <v>147</v>
      </c>
      <c r="S36" s="761"/>
      <c r="T36" s="116">
        <f>25/149*U36</f>
        <v>8.053691275167786</v>
      </c>
      <c r="U36" s="27">
        <f>U14</f>
        <v>48</v>
      </c>
      <c r="V36" s="87">
        <f t="shared" si="20"/>
        <v>0.16778523489932887</v>
      </c>
      <c r="W36" s="77">
        <v>1</v>
      </c>
      <c r="X36" s="52">
        <v>70</v>
      </c>
      <c r="Y36" s="83">
        <f t="shared" si="16"/>
        <v>11.74496644295302</v>
      </c>
      <c r="AA36" s="88">
        <v>12</v>
      </c>
      <c r="AB36" s="28" t="s">
        <v>210</v>
      </c>
      <c r="AC36" s="760" t="s">
        <v>147</v>
      </c>
      <c r="AD36" s="761"/>
      <c r="AE36" s="116">
        <f>25/149*AF36</f>
        <v>16.946308724832214</v>
      </c>
      <c r="AF36" s="27">
        <f>AF14</f>
        <v>101</v>
      </c>
      <c r="AG36" s="114">
        <f t="shared" si="21"/>
        <v>0.16778523489932884</v>
      </c>
      <c r="AH36" s="77">
        <v>1</v>
      </c>
      <c r="AI36" s="52">
        <v>70</v>
      </c>
      <c r="AJ36" s="83">
        <f t="shared" si="17"/>
        <v>11.744966442953018</v>
      </c>
      <c r="AK36" s="778"/>
      <c r="AL36" s="118"/>
      <c r="AM36" s="88">
        <v>12</v>
      </c>
      <c r="AN36" s="28" t="s">
        <v>211</v>
      </c>
      <c r="AO36" s="760" t="s">
        <v>147</v>
      </c>
      <c r="AP36" s="761"/>
      <c r="AQ36" s="116">
        <v>6</v>
      </c>
      <c r="AR36" s="27">
        <f t="shared" si="26"/>
        <v>149</v>
      </c>
      <c r="AS36" s="114">
        <f t="shared" si="25"/>
        <v>4.0268456375838924E-2</v>
      </c>
      <c r="AT36" s="77">
        <v>1</v>
      </c>
      <c r="AU36" s="52">
        <v>470</v>
      </c>
      <c r="AV36" s="83">
        <f t="shared" si="18"/>
        <v>18.926174496644293</v>
      </c>
      <c r="AW36" s="778"/>
      <c r="AX36" s="21"/>
      <c r="AY36" s="5">
        <f t="shared" si="19"/>
        <v>1186.2416107382548</v>
      </c>
      <c r="BA36" s="113">
        <f t="shared" si="23"/>
        <v>2820</v>
      </c>
      <c r="BB36" s="5">
        <f t="shared" si="23"/>
        <v>2819.9999999999995</v>
      </c>
    </row>
    <row r="37" spans="1:54" ht="15" customHeight="1" outlineLevel="2">
      <c r="A37" s="746"/>
      <c r="B37" s="748"/>
      <c r="C37" s="235" t="e">
        <f>'расчет по услугам'!#REF!</f>
        <v>#REF!</v>
      </c>
      <c r="D37" s="238" t="e">
        <f>'расчет по услугам'!#REF!</f>
        <v>#REF!</v>
      </c>
      <c r="E37" s="780" t="e">
        <f>'расчет по услугам'!#REF!</f>
        <v>#REF!</v>
      </c>
      <c r="F37" s="781"/>
      <c r="G37" s="249">
        <f>G15</f>
        <v>48</v>
      </c>
      <c r="H37" s="291" t="e">
        <f>#REF!/G37</f>
        <v>#REF!</v>
      </c>
      <c r="I37" s="249">
        <v>1</v>
      </c>
      <c r="J37" s="252">
        <v>110</v>
      </c>
      <c r="K37" s="278">
        <f t="shared" si="15"/>
        <v>0</v>
      </c>
      <c r="L37" s="782"/>
      <c r="M37" s="269"/>
      <c r="Q37" s="28" t="s">
        <v>148</v>
      </c>
      <c r="R37" s="760" t="s">
        <v>142</v>
      </c>
      <c r="S37" s="761"/>
      <c r="T37" s="116">
        <f>100/149*U37</f>
        <v>32.214765100671144</v>
      </c>
      <c r="U37" s="27">
        <f>U15</f>
        <v>48</v>
      </c>
      <c r="V37" s="87">
        <f t="shared" si="20"/>
        <v>0.67114093959731547</v>
      </c>
      <c r="W37" s="77">
        <v>1</v>
      </c>
      <c r="X37" s="52">
        <v>110</v>
      </c>
      <c r="Y37" s="83">
        <f t="shared" si="16"/>
        <v>73.825503355704697</v>
      </c>
      <c r="AA37" s="88">
        <v>13</v>
      </c>
      <c r="AB37" s="28" t="s">
        <v>148</v>
      </c>
      <c r="AC37" s="760" t="s">
        <v>142</v>
      </c>
      <c r="AD37" s="761"/>
      <c r="AE37" s="116">
        <f>100/149*AF37</f>
        <v>67.785234899328856</v>
      </c>
      <c r="AF37" s="27">
        <f>AF15</f>
        <v>101</v>
      </c>
      <c r="AG37" s="114">
        <f t="shared" si="21"/>
        <v>0.67114093959731536</v>
      </c>
      <c r="AH37" s="77">
        <v>1</v>
      </c>
      <c r="AI37" s="52">
        <v>110</v>
      </c>
      <c r="AJ37" s="83">
        <f t="shared" si="17"/>
        <v>73.825503355704683</v>
      </c>
      <c r="AK37" s="778"/>
      <c r="AL37" s="118"/>
      <c r="AM37" s="88">
        <v>13</v>
      </c>
      <c r="AN37" s="28" t="s">
        <v>212</v>
      </c>
      <c r="AO37" s="760" t="s">
        <v>147</v>
      </c>
      <c r="AP37" s="761"/>
      <c r="AQ37" s="116">
        <v>6</v>
      </c>
      <c r="AR37" s="27">
        <f t="shared" si="26"/>
        <v>149</v>
      </c>
      <c r="AS37" s="114">
        <f t="shared" si="25"/>
        <v>4.0268456375838924E-2</v>
      </c>
      <c r="AT37" s="77">
        <v>1</v>
      </c>
      <c r="AU37" s="52">
        <v>350</v>
      </c>
      <c r="AV37" s="83">
        <f t="shared" si="18"/>
        <v>14.093959731543624</v>
      </c>
      <c r="AW37" s="778"/>
      <c r="AX37" s="21"/>
      <c r="AY37" s="5">
        <f t="shared" si="19"/>
        <v>7456.3758389261729</v>
      </c>
      <c r="BA37" s="113">
        <f t="shared" si="23"/>
        <v>2100</v>
      </c>
      <c r="BB37" s="5">
        <f t="shared" si="23"/>
        <v>2100</v>
      </c>
    </row>
    <row r="38" spans="1:54" ht="15" customHeight="1" outlineLevel="2">
      <c r="A38" s="746"/>
      <c r="B38" s="748"/>
      <c r="C38" s="235" t="e">
        <f>'расчет по услугам'!#REF!</f>
        <v>#REF!</v>
      </c>
      <c r="D38" s="238" t="e">
        <f>'расчет по услугам'!#REF!</f>
        <v>#REF!</v>
      </c>
      <c r="E38" s="780" t="e">
        <f>'расчет по услугам'!#REF!</f>
        <v>#REF!</v>
      </c>
      <c r="F38" s="781"/>
      <c r="G38" s="249">
        <f>G16</f>
        <v>48</v>
      </c>
      <c r="H38" s="291" t="e">
        <f>#REF!/G38</f>
        <v>#REF!</v>
      </c>
      <c r="I38" s="249">
        <v>1</v>
      </c>
      <c r="J38" s="252">
        <v>50</v>
      </c>
      <c r="K38" s="278">
        <f t="shared" si="15"/>
        <v>0</v>
      </c>
      <c r="L38" s="782"/>
      <c r="M38" s="269"/>
      <c r="Q38" s="28" t="s">
        <v>149</v>
      </c>
      <c r="R38" s="760" t="s">
        <v>142</v>
      </c>
      <c r="S38" s="761"/>
      <c r="T38" s="116">
        <f>145/149*U38</f>
        <v>46.711409395973156</v>
      </c>
      <c r="U38" s="27">
        <f>U16</f>
        <v>48</v>
      </c>
      <c r="V38" s="87">
        <f t="shared" si="20"/>
        <v>0.97315436241610742</v>
      </c>
      <c r="W38" s="77">
        <v>1</v>
      </c>
      <c r="X38" s="52">
        <v>50</v>
      </c>
      <c r="Y38" s="83">
        <f t="shared" si="16"/>
        <v>48.65771812080537</v>
      </c>
      <c r="AA38" s="88">
        <v>14</v>
      </c>
      <c r="AB38" s="28" t="s">
        <v>149</v>
      </c>
      <c r="AC38" s="760" t="s">
        <v>142</v>
      </c>
      <c r="AD38" s="761"/>
      <c r="AE38" s="116">
        <f>145/149*AF38</f>
        <v>98.288590604026851</v>
      </c>
      <c r="AF38" s="27">
        <f>AF16</f>
        <v>101</v>
      </c>
      <c r="AG38" s="114">
        <f t="shared" si="21"/>
        <v>0.97315436241610742</v>
      </c>
      <c r="AH38" s="77">
        <v>1</v>
      </c>
      <c r="AI38" s="52">
        <v>50</v>
      </c>
      <c r="AJ38" s="83">
        <f t="shared" si="17"/>
        <v>48.65771812080537</v>
      </c>
      <c r="AK38" s="778"/>
      <c r="AL38" s="118"/>
      <c r="AM38" s="88">
        <v>14</v>
      </c>
      <c r="AN38" s="28" t="s">
        <v>213</v>
      </c>
      <c r="AO38" s="760" t="s">
        <v>142</v>
      </c>
      <c r="AP38" s="761"/>
      <c r="AQ38" s="116">
        <v>12</v>
      </c>
      <c r="AR38" s="27">
        <f t="shared" si="26"/>
        <v>149</v>
      </c>
      <c r="AS38" s="114">
        <f t="shared" si="25"/>
        <v>8.0536912751677847E-2</v>
      </c>
      <c r="AT38" s="77">
        <v>1</v>
      </c>
      <c r="AU38" s="52">
        <v>300</v>
      </c>
      <c r="AV38" s="83">
        <f t="shared" si="18"/>
        <v>24.161073825503355</v>
      </c>
      <c r="AW38" s="778"/>
      <c r="AX38" s="21"/>
      <c r="AY38" s="5">
        <f t="shared" si="19"/>
        <v>4914.4295302013425</v>
      </c>
      <c r="BA38" s="113">
        <f t="shared" si="23"/>
        <v>3600</v>
      </c>
      <c r="BB38" s="5">
        <f t="shared" si="23"/>
        <v>3600</v>
      </c>
    </row>
    <row r="39" spans="1:54" ht="15" customHeight="1" outlineLevel="2">
      <c r="A39" s="746"/>
      <c r="B39" s="748"/>
      <c r="C39" s="235" t="e">
        <f>'расчет по услугам'!#REF!</f>
        <v>#REF!</v>
      </c>
      <c r="D39" s="238" t="e">
        <f>'расчет по услугам'!#REF!</f>
        <v>#REF!</v>
      </c>
      <c r="E39" s="780" t="e">
        <f>'расчет по услугам'!#REF!</f>
        <v>#REF!</v>
      </c>
      <c r="F39" s="781"/>
      <c r="G39" s="249">
        <f>G38</f>
        <v>48</v>
      </c>
      <c r="H39" s="291" t="e">
        <f>#REF!/G39</f>
        <v>#REF!</v>
      </c>
      <c r="I39" s="249">
        <v>1</v>
      </c>
      <c r="J39" s="252">
        <v>60</v>
      </c>
      <c r="K39" s="278">
        <f t="shared" si="15"/>
        <v>0</v>
      </c>
      <c r="L39" s="782"/>
      <c r="M39" s="269"/>
      <c r="Q39" s="28" t="s">
        <v>150</v>
      </c>
      <c r="R39" s="760" t="s">
        <v>142</v>
      </c>
      <c r="S39" s="761"/>
      <c r="T39" s="116">
        <f>145/149*U39</f>
        <v>46.711409395973156</v>
      </c>
      <c r="U39" s="27">
        <f>U38</f>
        <v>48</v>
      </c>
      <c r="V39" s="87">
        <f t="shared" si="20"/>
        <v>0.97315436241610742</v>
      </c>
      <c r="W39" s="77">
        <v>1</v>
      </c>
      <c r="X39" s="52">
        <v>60</v>
      </c>
      <c r="Y39" s="83">
        <f t="shared" si="16"/>
        <v>58.389261744966447</v>
      </c>
      <c r="AA39" s="88">
        <v>15</v>
      </c>
      <c r="AB39" s="28" t="s">
        <v>150</v>
      </c>
      <c r="AC39" s="760" t="s">
        <v>142</v>
      </c>
      <c r="AD39" s="761"/>
      <c r="AE39" s="116">
        <f>145/149*AF39</f>
        <v>98.288590604026851</v>
      </c>
      <c r="AF39" s="27">
        <f>AF38</f>
        <v>101</v>
      </c>
      <c r="AG39" s="114">
        <f t="shared" si="21"/>
        <v>0.97315436241610742</v>
      </c>
      <c r="AH39" s="77">
        <v>1</v>
      </c>
      <c r="AI39" s="52">
        <v>60</v>
      </c>
      <c r="AJ39" s="83">
        <f t="shared" si="17"/>
        <v>58.389261744966447</v>
      </c>
      <c r="AK39" s="778"/>
      <c r="AL39" s="118"/>
      <c r="AM39" s="88">
        <v>15</v>
      </c>
      <c r="AN39" s="28" t="s">
        <v>214</v>
      </c>
      <c r="AO39" s="760" t="s">
        <v>142</v>
      </c>
      <c r="AP39" s="761"/>
      <c r="AQ39" s="116">
        <v>20</v>
      </c>
      <c r="AR39" s="27">
        <f t="shared" si="26"/>
        <v>149</v>
      </c>
      <c r="AS39" s="114">
        <f t="shared" si="25"/>
        <v>0.13422818791946309</v>
      </c>
      <c r="AT39" s="77">
        <v>1</v>
      </c>
      <c r="AU39" s="52">
        <v>500</v>
      </c>
      <c r="AV39" s="83">
        <f t="shared" si="18"/>
        <v>67.114093959731548</v>
      </c>
      <c r="AW39" s="778"/>
      <c r="AX39" s="21"/>
      <c r="AY39" s="5">
        <f t="shared" si="19"/>
        <v>5897.3154362416108</v>
      </c>
      <c r="BA39" s="113">
        <f t="shared" si="23"/>
        <v>10000</v>
      </c>
      <c r="BB39" s="5">
        <f t="shared" si="23"/>
        <v>10000</v>
      </c>
    </row>
    <row r="40" spans="1:54" ht="16.5" customHeight="1" outlineLevel="2">
      <c r="A40" s="746"/>
      <c r="B40" s="748"/>
      <c r="C40" s="235" t="e">
        <f>'расчет по услугам'!#REF!</f>
        <v>#REF!</v>
      </c>
      <c r="D40" s="238" t="e">
        <f>'расчет по услугам'!#REF!</f>
        <v>#REF!</v>
      </c>
      <c r="E40" s="780" t="e">
        <f>'расчет по услугам'!#REF!</f>
        <v>#REF!</v>
      </c>
      <c r="F40" s="781"/>
      <c r="G40" s="249">
        <f t="shared" ref="G40:G41" si="27">G17</f>
        <v>48</v>
      </c>
      <c r="H40" s="291" t="e">
        <f>#REF!/G40</f>
        <v>#REF!</v>
      </c>
      <c r="I40" s="249">
        <v>1</v>
      </c>
      <c r="J40" s="252">
        <v>30</v>
      </c>
      <c r="K40" s="278">
        <f t="shared" si="15"/>
        <v>0</v>
      </c>
      <c r="L40" s="782"/>
      <c r="M40" s="269"/>
      <c r="Q40" s="28" t="s">
        <v>215</v>
      </c>
      <c r="R40" s="760" t="s">
        <v>147</v>
      </c>
      <c r="S40" s="761"/>
      <c r="T40" s="116">
        <f>145/149*U40</f>
        <v>46.711409395973156</v>
      </c>
      <c r="U40" s="27">
        <f t="shared" ref="U40:U41" si="28">U17</f>
        <v>48</v>
      </c>
      <c r="V40" s="87">
        <f t="shared" si="20"/>
        <v>0.97315436241610742</v>
      </c>
      <c r="W40" s="77">
        <v>1</v>
      </c>
      <c r="X40" s="52">
        <v>30</v>
      </c>
      <c r="Y40" s="83">
        <f t="shared" si="16"/>
        <v>29.194630872483224</v>
      </c>
      <c r="AA40" s="88">
        <v>16</v>
      </c>
      <c r="AB40" s="28" t="s">
        <v>215</v>
      </c>
      <c r="AC40" s="760" t="s">
        <v>147</v>
      </c>
      <c r="AD40" s="761"/>
      <c r="AE40" s="116">
        <f>145/149*AF40</f>
        <v>98.288590604026851</v>
      </c>
      <c r="AF40" s="27">
        <f t="shared" ref="AF40:AF41" si="29">AF17</f>
        <v>101</v>
      </c>
      <c r="AG40" s="114">
        <f t="shared" si="21"/>
        <v>0.97315436241610742</v>
      </c>
      <c r="AH40" s="77">
        <v>1</v>
      </c>
      <c r="AI40" s="52">
        <v>30</v>
      </c>
      <c r="AJ40" s="83">
        <f t="shared" si="17"/>
        <v>29.194630872483224</v>
      </c>
      <c r="AK40" s="778"/>
      <c r="AL40" s="118"/>
      <c r="AM40" s="88">
        <v>16</v>
      </c>
      <c r="AN40" s="28" t="s">
        <v>158</v>
      </c>
      <c r="AO40" s="760" t="s">
        <v>142</v>
      </c>
      <c r="AP40" s="761"/>
      <c r="AQ40" s="116">
        <v>100</v>
      </c>
      <c r="AR40" s="27">
        <v>149</v>
      </c>
      <c r="AS40" s="114">
        <f t="shared" si="25"/>
        <v>0.67114093959731547</v>
      </c>
      <c r="AT40" s="77">
        <v>1</v>
      </c>
      <c r="AU40" s="52">
        <v>250</v>
      </c>
      <c r="AV40" s="83">
        <f t="shared" si="18"/>
        <v>167.78523489932886</v>
      </c>
      <c r="AW40" s="778"/>
      <c r="AX40" s="21"/>
      <c r="AY40" s="5">
        <f t="shared" si="19"/>
        <v>2948.6577181208054</v>
      </c>
      <c r="BA40" s="113">
        <f t="shared" si="23"/>
        <v>25000</v>
      </c>
      <c r="BB40" s="5">
        <f t="shared" si="23"/>
        <v>25000</v>
      </c>
    </row>
    <row r="41" spans="1:54" ht="15" customHeight="1" outlineLevel="2">
      <c r="A41" s="746"/>
      <c r="B41" s="748"/>
      <c r="C41" s="235" t="e">
        <f>'расчет по услугам'!#REF!</f>
        <v>#REF!</v>
      </c>
      <c r="D41" s="238" t="e">
        <f>'расчет по услугам'!#REF!</f>
        <v>#REF!</v>
      </c>
      <c r="E41" s="780" t="e">
        <f>'расчет по услугам'!#REF!</f>
        <v>#REF!</v>
      </c>
      <c r="F41" s="781"/>
      <c r="G41" s="249">
        <f t="shared" si="27"/>
        <v>48</v>
      </c>
      <c r="H41" s="291" t="e">
        <f>#REF!/G41</f>
        <v>#REF!</v>
      </c>
      <c r="I41" s="249">
        <v>1</v>
      </c>
      <c r="J41" s="252">
        <v>35</v>
      </c>
      <c r="K41" s="278">
        <f t="shared" si="15"/>
        <v>0</v>
      </c>
      <c r="L41" s="782"/>
      <c r="M41" s="269"/>
      <c r="Q41" s="28" t="s">
        <v>151</v>
      </c>
      <c r="R41" s="760" t="s">
        <v>147</v>
      </c>
      <c r="S41" s="761"/>
      <c r="T41" s="116">
        <f>145/149*U41</f>
        <v>46.711409395973156</v>
      </c>
      <c r="U41" s="27">
        <f t="shared" si="28"/>
        <v>48</v>
      </c>
      <c r="V41" s="87">
        <f t="shared" si="20"/>
        <v>0.97315436241610742</v>
      </c>
      <c r="W41" s="77">
        <v>1</v>
      </c>
      <c r="X41" s="52">
        <v>35</v>
      </c>
      <c r="Y41" s="83">
        <f t="shared" si="16"/>
        <v>34.060402684563762</v>
      </c>
      <c r="AA41" s="88">
        <v>17</v>
      </c>
      <c r="AB41" s="28" t="s">
        <v>151</v>
      </c>
      <c r="AC41" s="760" t="s">
        <v>147</v>
      </c>
      <c r="AD41" s="761"/>
      <c r="AE41" s="116">
        <f>145/149*AF41</f>
        <v>98.288590604026851</v>
      </c>
      <c r="AF41" s="27">
        <f t="shared" si="29"/>
        <v>101</v>
      </c>
      <c r="AG41" s="114">
        <f t="shared" si="21"/>
        <v>0.97315436241610742</v>
      </c>
      <c r="AH41" s="77">
        <v>1</v>
      </c>
      <c r="AI41" s="52">
        <v>35</v>
      </c>
      <c r="AJ41" s="83">
        <f t="shared" si="17"/>
        <v>34.060402684563762</v>
      </c>
      <c r="AK41" s="778"/>
      <c r="AL41" s="118"/>
      <c r="AM41" s="88">
        <v>17</v>
      </c>
      <c r="AN41" s="28" t="s">
        <v>159</v>
      </c>
      <c r="AO41" s="760" t="s">
        <v>142</v>
      </c>
      <c r="AP41" s="761"/>
      <c r="AQ41" s="116">
        <v>20</v>
      </c>
      <c r="AR41" s="27">
        <v>149</v>
      </c>
      <c r="AS41" s="114">
        <f t="shared" si="25"/>
        <v>0.13422818791946309</v>
      </c>
      <c r="AT41" s="77">
        <v>1</v>
      </c>
      <c r="AU41" s="52">
        <v>80</v>
      </c>
      <c r="AV41" s="83">
        <f t="shared" si="18"/>
        <v>10.738255033557047</v>
      </c>
      <c r="AW41" s="778"/>
      <c r="AX41" s="21"/>
      <c r="AY41" s="5">
        <f t="shared" si="19"/>
        <v>3440.10067114094</v>
      </c>
      <c r="BA41" s="113">
        <f t="shared" si="23"/>
        <v>1600</v>
      </c>
      <c r="BB41" s="5">
        <f t="shared" si="23"/>
        <v>1600</v>
      </c>
    </row>
    <row r="42" spans="1:54" ht="15" customHeight="1" outlineLevel="2">
      <c r="A42" s="746"/>
      <c r="B42" s="748"/>
      <c r="C42" s="235" t="e">
        <f>'расчет по услугам'!#REF!</f>
        <v>#REF!</v>
      </c>
      <c r="D42" s="238" t="e">
        <f>'расчет по услугам'!#REF!</f>
        <v>#REF!</v>
      </c>
      <c r="E42" s="780" t="e">
        <f>'расчет по услугам'!#REF!</f>
        <v>#REF!</v>
      </c>
      <c r="F42" s="781"/>
      <c r="G42" s="249">
        <f>G41</f>
        <v>48</v>
      </c>
      <c r="H42" s="291" t="e">
        <f>#REF!/G42</f>
        <v>#REF!</v>
      </c>
      <c r="I42" s="249">
        <v>1</v>
      </c>
      <c r="J42" s="252">
        <v>17</v>
      </c>
      <c r="K42" s="278">
        <f t="shared" si="15"/>
        <v>0</v>
      </c>
      <c r="L42" s="782"/>
      <c r="M42" s="269"/>
      <c r="Q42" s="28" t="s">
        <v>216</v>
      </c>
      <c r="R42" s="760" t="s">
        <v>142</v>
      </c>
      <c r="S42" s="761"/>
      <c r="T42" s="116">
        <f>15/149*U42</f>
        <v>4.8322147651006713</v>
      </c>
      <c r="U42" s="27">
        <f>U41</f>
        <v>48</v>
      </c>
      <c r="V42" s="87">
        <f t="shared" si="20"/>
        <v>0.10067114093959732</v>
      </c>
      <c r="W42" s="77">
        <v>1</v>
      </c>
      <c r="X42" s="52">
        <v>17</v>
      </c>
      <c r="Y42" s="83">
        <f t="shared" si="16"/>
        <v>1.7114093959731544</v>
      </c>
      <c r="AA42" s="88">
        <v>18</v>
      </c>
      <c r="AB42" s="28" t="s">
        <v>216</v>
      </c>
      <c r="AC42" s="760" t="s">
        <v>142</v>
      </c>
      <c r="AD42" s="761"/>
      <c r="AE42" s="116">
        <f>15/149*AF42</f>
        <v>10.167785234899329</v>
      </c>
      <c r="AF42" s="27">
        <f>AF41</f>
        <v>101</v>
      </c>
      <c r="AG42" s="114">
        <f t="shared" si="21"/>
        <v>0.10067114093959731</v>
      </c>
      <c r="AH42" s="77">
        <v>1</v>
      </c>
      <c r="AI42" s="52">
        <v>17</v>
      </c>
      <c r="AJ42" s="83">
        <f t="shared" si="17"/>
        <v>1.7114093959731542</v>
      </c>
      <c r="AK42" s="778"/>
      <c r="AL42" s="118"/>
      <c r="AM42" s="88">
        <v>18</v>
      </c>
      <c r="AN42" s="28" t="s">
        <v>160</v>
      </c>
      <c r="AO42" s="760" t="s">
        <v>142</v>
      </c>
      <c r="AP42" s="761"/>
      <c r="AQ42" s="116">
        <v>100</v>
      </c>
      <c r="AR42" s="27">
        <v>149</v>
      </c>
      <c r="AS42" s="114">
        <f t="shared" si="25"/>
        <v>0.67114093959731547</v>
      </c>
      <c r="AT42" s="77">
        <v>1</v>
      </c>
      <c r="AU42" s="52">
        <v>35</v>
      </c>
      <c r="AV42" s="83">
        <f t="shared" si="18"/>
        <v>23.48993288590604</v>
      </c>
      <c r="AW42" s="778"/>
      <c r="AX42" s="21"/>
      <c r="AY42" s="5">
        <f t="shared" si="19"/>
        <v>172.85234899328859</v>
      </c>
      <c r="BA42" s="113">
        <f t="shared" si="23"/>
        <v>3500</v>
      </c>
      <c r="BB42" s="5">
        <f t="shared" si="23"/>
        <v>3500</v>
      </c>
    </row>
    <row r="43" spans="1:54" ht="15" customHeight="1" outlineLevel="2">
      <c r="A43" s="746"/>
      <c r="B43" s="748"/>
      <c r="C43" s="235" t="e">
        <f>'расчет по услугам'!#REF!</f>
        <v>#REF!</v>
      </c>
      <c r="D43" s="238" t="e">
        <f>'расчет по услугам'!#REF!</f>
        <v>#REF!</v>
      </c>
      <c r="E43" s="780" t="e">
        <f>'расчет по услугам'!#REF!</f>
        <v>#REF!</v>
      </c>
      <c r="F43" s="781"/>
      <c r="G43" s="249">
        <f>G42</f>
        <v>48</v>
      </c>
      <c r="H43" s="291" t="e">
        <f>#REF!/G43</f>
        <v>#REF!</v>
      </c>
      <c r="I43" s="249">
        <v>1</v>
      </c>
      <c r="J43" s="252">
        <v>90</v>
      </c>
      <c r="K43" s="278">
        <f t="shared" si="15"/>
        <v>0</v>
      </c>
      <c r="L43" s="782"/>
      <c r="M43" s="269"/>
      <c r="Q43" s="28" t="s">
        <v>217</v>
      </c>
      <c r="R43" s="760" t="s">
        <v>147</v>
      </c>
      <c r="S43" s="761"/>
      <c r="T43" s="116">
        <f>20/149*U43</f>
        <v>6.4429530201342278</v>
      </c>
      <c r="U43" s="27">
        <f>U42</f>
        <v>48</v>
      </c>
      <c r="V43" s="87">
        <f t="shared" si="20"/>
        <v>0.13422818791946309</v>
      </c>
      <c r="W43" s="77">
        <v>1</v>
      </c>
      <c r="X43" s="52">
        <v>90</v>
      </c>
      <c r="Y43" s="83">
        <f t="shared" si="16"/>
        <v>12.080536912751677</v>
      </c>
      <c r="AA43" s="88">
        <v>19</v>
      </c>
      <c r="AB43" s="28" t="s">
        <v>217</v>
      </c>
      <c r="AC43" s="760" t="s">
        <v>147</v>
      </c>
      <c r="AD43" s="761"/>
      <c r="AE43" s="116">
        <f>20/149*AF43</f>
        <v>13.557046979865772</v>
      </c>
      <c r="AF43" s="27">
        <f>AF42</f>
        <v>101</v>
      </c>
      <c r="AG43" s="114">
        <f t="shared" si="21"/>
        <v>0.13422818791946309</v>
      </c>
      <c r="AH43" s="77">
        <v>1</v>
      </c>
      <c r="AI43" s="52">
        <v>90</v>
      </c>
      <c r="AJ43" s="83">
        <f t="shared" si="17"/>
        <v>12.080536912751677</v>
      </c>
      <c r="AK43" s="778"/>
      <c r="AL43" s="118"/>
      <c r="AM43" s="119"/>
      <c r="AN43" s="53"/>
      <c r="AO43" s="783"/>
      <c r="AP43" s="784"/>
      <c r="AQ43" s="120"/>
      <c r="AR43" s="121"/>
      <c r="AS43" s="122"/>
      <c r="AT43" s="84"/>
      <c r="AU43" s="54"/>
      <c r="AV43" s="123"/>
      <c r="AW43" s="778"/>
      <c r="AX43" s="21"/>
      <c r="AY43" s="5">
        <f t="shared" si="19"/>
        <v>1220.1342281879195</v>
      </c>
      <c r="BA43" s="113">
        <f t="shared" si="23"/>
        <v>0</v>
      </c>
      <c r="BB43" s="5">
        <f t="shared" si="23"/>
        <v>0</v>
      </c>
    </row>
    <row r="44" spans="1:54" ht="30" customHeight="1" outlineLevel="2">
      <c r="A44" s="746"/>
      <c r="B44" s="748"/>
      <c r="C44" s="235" t="e">
        <f>'расчет по услугам'!#REF!</f>
        <v>#REF!</v>
      </c>
      <c r="D44" s="238" t="e">
        <f>'расчет по услугам'!#REF!</f>
        <v>#REF!</v>
      </c>
      <c r="E44" s="780" t="e">
        <f>'расчет по услугам'!#REF!</f>
        <v>#REF!</v>
      </c>
      <c r="F44" s="781"/>
      <c r="G44" s="249">
        <f t="shared" ref="G44" si="30">G43</f>
        <v>48</v>
      </c>
      <c r="H44" s="291" t="e">
        <f>#REF!/G44</f>
        <v>#REF!</v>
      </c>
      <c r="I44" s="249">
        <v>1</v>
      </c>
      <c r="J44" s="252">
        <v>117.7</v>
      </c>
      <c r="K44" s="278">
        <f t="shared" si="15"/>
        <v>0</v>
      </c>
      <c r="L44" s="782"/>
      <c r="M44" s="269"/>
      <c r="Q44" s="28" t="s">
        <v>218</v>
      </c>
      <c r="R44" s="760" t="s">
        <v>147</v>
      </c>
      <c r="S44" s="761"/>
      <c r="T44" s="116">
        <f>10/149*U44</f>
        <v>3.2214765100671139</v>
      </c>
      <c r="U44" s="27">
        <f t="shared" ref="U44" si="31">U43</f>
        <v>48</v>
      </c>
      <c r="V44" s="87">
        <f t="shared" si="20"/>
        <v>6.7114093959731544E-2</v>
      </c>
      <c r="W44" s="77">
        <v>1</v>
      </c>
      <c r="X44" s="52">
        <v>117.7</v>
      </c>
      <c r="Y44" s="83">
        <f t="shared" si="16"/>
        <v>7.8993288590604029</v>
      </c>
      <c r="AA44" s="88">
        <v>20</v>
      </c>
      <c r="AB44" s="28" t="s">
        <v>218</v>
      </c>
      <c r="AC44" s="760" t="s">
        <v>147</v>
      </c>
      <c r="AD44" s="761"/>
      <c r="AE44" s="116">
        <f>10/149*AF44</f>
        <v>6.7785234899328861</v>
      </c>
      <c r="AF44" s="27">
        <f t="shared" ref="AF44" si="32">AF43</f>
        <v>101</v>
      </c>
      <c r="AG44" s="114">
        <f t="shared" si="21"/>
        <v>6.7114093959731544E-2</v>
      </c>
      <c r="AH44" s="77">
        <v>1</v>
      </c>
      <c r="AI44" s="52">
        <v>117.7</v>
      </c>
      <c r="AJ44" s="83">
        <f t="shared" si="17"/>
        <v>7.8993288590604029</v>
      </c>
      <c r="AK44" s="778"/>
      <c r="AL44" s="118"/>
      <c r="AM44" s="88">
        <v>20</v>
      </c>
      <c r="AN44" s="28" t="s">
        <v>219</v>
      </c>
      <c r="AO44" s="760" t="s">
        <v>142</v>
      </c>
      <c r="AP44" s="761"/>
      <c r="AQ44" s="117">
        <v>100</v>
      </c>
      <c r="AR44" s="27">
        <v>149</v>
      </c>
      <c r="AS44" s="114">
        <f t="shared" ref="AS44:AS48" si="33">AQ44/AR44</f>
        <v>0.67114093959731547</v>
      </c>
      <c r="AT44" s="77">
        <v>1</v>
      </c>
      <c r="AU44" s="52">
        <v>50</v>
      </c>
      <c r="AV44" s="83">
        <f t="shared" ref="AV44:AV48" si="34">IFERROR(AS44*AU44/AT44,0)</f>
        <v>33.557046979865774</v>
      </c>
      <c r="AW44" s="778"/>
      <c r="AX44" s="21"/>
      <c r="AY44" s="5">
        <f t="shared" si="19"/>
        <v>797.83221476510073</v>
      </c>
      <c r="BA44" s="113">
        <f t="shared" si="23"/>
        <v>5000</v>
      </c>
      <c r="BB44" s="5">
        <f t="shared" si="23"/>
        <v>5000</v>
      </c>
    </row>
    <row r="45" spans="1:54" ht="15" hidden="1" customHeight="1" outlineLevel="2">
      <c r="A45" s="746"/>
      <c r="B45" s="748"/>
      <c r="C45" s="235" t="e">
        <f>'расчет по услугам'!#REF!</f>
        <v>#REF!</v>
      </c>
      <c r="D45" s="238" t="e">
        <f>'расчет по услугам'!#REF!</f>
        <v>#REF!</v>
      </c>
      <c r="E45" s="780" t="e">
        <f>'расчет по услугам'!#REF!</f>
        <v>#REF!</v>
      </c>
      <c r="F45" s="781"/>
      <c r="G45" s="249">
        <v>48</v>
      </c>
      <c r="H45" s="291" t="e">
        <f>#REF!/G45</f>
        <v>#REF!</v>
      </c>
      <c r="I45" s="249">
        <v>1</v>
      </c>
      <c r="J45" s="252">
        <v>60</v>
      </c>
      <c r="K45" s="278">
        <f t="shared" si="15"/>
        <v>0</v>
      </c>
      <c r="L45" s="782"/>
      <c r="M45" s="269"/>
      <c r="Q45" s="28" t="s">
        <v>152</v>
      </c>
      <c r="R45" s="760" t="s">
        <v>142</v>
      </c>
      <c r="S45" s="761"/>
      <c r="T45" s="116">
        <f>310/149*U45</f>
        <v>99.865771812080538</v>
      </c>
      <c r="U45" s="27">
        <v>48</v>
      </c>
      <c r="V45" s="87">
        <f t="shared" si="20"/>
        <v>2.0805369127516777</v>
      </c>
      <c r="W45" s="77">
        <v>1</v>
      </c>
      <c r="X45" s="52">
        <v>60</v>
      </c>
      <c r="Y45" s="83">
        <f t="shared" si="16"/>
        <v>124.83221476510066</v>
      </c>
      <c r="AA45" s="88">
        <v>21</v>
      </c>
      <c r="AB45" s="28" t="s">
        <v>152</v>
      </c>
      <c r="AC45" s="760" t="s">
        <v>142</v>
      </c>
      <c r="AD45" s="761"/>
      <c r="AE45" s="116">
        <f>310/149*AF45</f>
        <v>210.13422818791946</v>
      </c>
      <c r="AF45" s="27">
        <v>101</v>
      </c>
      <c r="AG45" s="114">
        <f t="shared" si="21"/>
        <v>2.0805369127516777</v>
      </c>
      <c r="AH45" s="77">
        <v>1</v>
      </c>
      <c r="AI45" s="52">
        <v>60</v>
      </c>
      <c r="AJ45" s="83">
        <f t="shared" si="17"/>
        <v>124.83221476510066</v>
      </c>
      <c r="AK45" s="778"/>
      <c r="AL45" s="118"/>
      <c r="AM45" s="88">
        <v>21</v>
      </c>
      <c r="AN45" s="28" t="s">
        <v>220</v>
      </c>
      <c r="AO45" s="760" t="s">
        <v>142</v>
      </c>
      <c r="AP45" s="761"/>
      <c r="AQ45" s="116">
        <v>200</v>
      </c>
      <c r="AR45" s="27">
        <f t="shared" ref="AR45:AR47" si="35">AR44</f>
        <v>149</v>
      </c>
      <c r="AS45" s="114">
        <f t="shared" si="33"/>
        <v>1.3422818791946309</v>
      </c>
      <c r="AT45" s="77">
        <v>1</v>
      </c>
      <c r="AU45" s="52">
        <v>14</v>
      </c>
      <c r="AV45" s="83">
        <f t="shared" si="34"/>
        <v>18.791946308724832</v>
      </c>
      <c r="AW45" s="778"/>
      <c r="AX45" s="21"/>
      <c r="AY45" s="5">
        <f t="shared" si="19"/>
        <v>12608.053691275167</v>
      </c>
      <c r="BA45" s="113">
        <f t="shared" si="23"/>
        <v>2800</v>
      </c>
      <c r="BB45" s="5">
        <f t="shared" si="23"/>
        <v>2800</v>
      </c>
    </row>
    <row r="46" spans="1:54" ht="15" customHeight="1" outlineLevel="2">
      <c r="A46" s="746"/>
      <c r="B46" s="748"/>
      <c r="C46" s="235" t="e">
        <f>'расчет по услугам'!#REF!</f>
        <v>#REF!</v>
      </c>
      <c r="D46" s="238" t="e">
        <f>'расчет по услугам'!#REF!</f>
        <v>#REF!</v>
      </c>
      <c r="E46" s="780" t="e">
        <f>'расчет по услугам'!#REF!</f>
        <v>#REF!</v>
      </c>
      <c r="F46" s="781"/>
      <c r="G46" s="249"/>
      <c r="H46" s="291"/>
      <c r="I46" s="249"/>
      <c r="J46" s="252"/>
      <c r="K46" s="278"/>
      <c r="L46" s="782"/>
      <c r="M46" s="269"/>
      <c r="Q46" s="28"/>
      <c r="R46" s="760"/>
      <c r="S46" s="761"/>
      <c r="T46" s="116"/>
      <c r="U46" s="27"/>
      <c r="V46" s="87"/>
      <c r="W46" s="77"/>
      <c r="X46" s="52"/>
      <c r="Y46" s="83"/>
      <c r="AA46" s="88"/>
      <c r="AB46" s="28"/>
      <c r="AC46" s="760"/>
      <c r="AD46" s="761"/>
      <c r="AE46" s="116"/>
      <c r="AF46" s="27"/>
      <c r="AG46" s="114"/>
      <c r="AH46" s="77"/>
      <c r="AI46" s="52"/>
      <c r="AJ46" s="83"/>
      <c r="AK46" s="778"/>
      <c r="AL46" s="118"/>
      <c r="AM46" s="88">
        <v>22</v>
      </c>
      <c r="AN46" s="28" t="s">
        <v>221</v>
      </c>
      <c r="AO46" s="760" t="s">
        <v>142</v>
      </c>
      <c r="AP46" s="761"/>
      <c r="AQ46" s="116">
        <v>120</v>
      </c>
      <c r="AR46" s="27">
        <f>AR45</f>
        <v>149</v>
      </c>
      <c r="AS46" s="114">
        <f t="shared" si="33"/>
        <v>0.80536912751677847</v>
      </c>
      <c r="AT46" s="77">
        <v>1</v>
      </c>
      <c r="AU46" s="52">
        <v>20</v>
      </c>
      <c r="AV46" s="83">
        <f t="shared" si="34"/>
        <v>16.107382550335569</v>
      </c>
      <c r="AW46" s="778"/>
      <c r="AX46" s="21"/>
      <c r="AY46" s="5">
        <f t="shared" si="19"/>
        <v>0</v>
      </c>
      <c r="BA46" s="113">
        <f t="shared" si="23"/>
        <v>2400</v>
      </c>
      <c r="BB46" s="5">
        <f t="shared" si="23"/>
        <v>2399.9999999999995</v>
      </c>
    </row>
    <row r="47" spans="1:54" ht="15" hidden="1" customHeight="1" outlineLevel="2">
      <c r="A47" s="746"/>
      <c r="B47" s="748"/>
      <c r="C47" s="235" t="e">
        <f>'расчет по услугам'!#REF!</f>
        <v>#REF!</v>
      </c>
      <c r="D47" s="235"/>
      <c r="E47" s="785"/>
      <c r="F47" s="785"/>
      <c r="G47" s="249"/>
      <c r="H47" s="291"/>
      <c r="I47" s="249"/>
      <c r="J47" s="252"/>
      <c r="K47" s="278"/>
      <c r="L47" s="782"/>
      <c r="M47" s="269"/>
      <c r="Q47" s="28"/>
      <c r="R47" s="760"/>
      <c r="S47" s="761"/>
      <c r="T47" s="116"/>
      <c r="U47" s="27"/>
      <c r="V47" s="87"/>
      <c r="W47" s="77"/>
      <c r="X47" s="52"/>
      <c r="Y47" s="83"/>
      <c r="AA47" s="88"/>
      <c r="AB47" s="28"/>
      <c r="AC47" s="760"/>
      <c r="AD47" s="761"/>
      <c r="AE47" s="116"/>
      <c r="AF47" s="27"/>
      <c r="AG47" s="114"/>
      <c r="AH47" s="77"/>
      <c r="AI47" s="52"/>
      <c r="AJ47" s="83"/>
      <c r="AK47" s="778"/>
      <c r="AL47" s="118"/>
      <c r="AM47" s="88">
        <v>23</v>
      </c>
      <c r="AN47" s="28" t="s">
        <v>222</v>
      </c>
      <c r="AO47" s="760" t="s">
        <v>142</v>
      </c>
      <c r="AP47" s="761"/>
      <c r="AQ47" s="116">
        <v>7</v>
      </c>
      <c r="AR47" s="27">
        <f t="shared" si="35"/>
        <v>149</v>
      </c>
      <c r="AS47" s="114">
        <f t="shared" si="33"/>
        <v>4.6979865771812082E-2</v>
      </c>
      <c r="AT47" s="77">
        <v>1</v>
      </c>
      <c r="AU47" s="52">
        <v>5000</v>
      </c>
      <c r="AV47" s="83">
        <f t="shared" si="34"/>
        <v>234.8993288590604</v>
      </c>
      <c r="AW47" s="778"/>
      <c r="AX47" s="21"/>
      <c r="AY47" s="5">
        <f t="shared" si="19"/>
        <v>0</v>
      </c>
      <c r="BA47" s="113">
        <f t="shared" si="23"/>
        <v>35000</v>
      </c>
      <c r="BB47" s="5">
        <f t="shared" si="23"/>
        <v>35000</v>
      </c>
    </row>
    <row r="48" spans="1:54" ht="15" hidden="1" customHeight="1" outlineLevel="2">
      <c r="A48" s="746"/>
      <c r="B48" s="748"/>
      <c r="C48" s="235"/>
      <c r="D48" s="235"/>
      <c r="E48" s="785"/>
      <c r="F48" s="785"/>
      <c r="G48" s="249"/>
      <c r="H48" s="291"/>
      <c r="I48" s="249"/>
      <c r="J48" s="252"/>
      <c r="K48" s="278"/>
      <c r="L48" s="782"/>
      <c r="M48" s="269"/>
      <c r="Q48" s="28"/>
      <c r="R48" s="760"/>
      <c r="S48" s="761"/>
      <c r="T48" s="116"/>
      <c r="U48" s="27"/>
      <c r="V48" s="87"/>
      <c r="W48" s="77"/>
      <c r="X48" s="52"/>
      <c r="Y48" s="83"/>
      <c r="AA48" s="88"/>
      <c r="AB48" s="28"/>
      <c r="AC48" s="760"/>
      <c r="AD48" s="761"/>
      <c r="AE48" s="116"/>
      <c r="AF48" s="27"/>
      <c r="AG48" s="114"/>
      <c r="AH48" s="77"/>
      <c r="AI48" s="52"/>
      <c r="AJ48" s="83"/>
      <c r="AK48" s="778"/>
      <c r="AL48" s="118"/>
      <c r="AM48" s="88">
        <v>24</v>
      </c>
      <c r="AN48" s="28" t="s">
        <v>208</v>
      </c>
      <c r="AO48" s="760" t="s">
        <v>147</v>
      </c>
      <c r="AP48" s="761"/>
      <c r="AQ48" s="116">
        <v>120</v>
      </c>
      <c r="AR48" s="27">
        <v>149</v>
      </c>
      <c r="AS48" s="114">
        <f t="shared" si="33"/>
        <v>0.80536912751677847</v>
      </c>
      <c r="AT48" s="77">
        <v>1</v>
      </c>
      <c r="AU48" s="52">
        <v>50</v>
      </c>
      <c r="AV48" s="83">
        <f t="shared" si="34"/>
        <v>40.268456375838923</v>
      </c>
      <c r="AW48" s="778"/>
      <c r="AX48" s="21"/>
      <c r="AY48" s="5">
        <f t="shared" si="19"/>
        <v>0</v>
      </c>
      <c r="BA48" s="113">
        <f t="shared" si="23"/>
        <v>6000</v>
      </c>
      <c r="BB48" s="5">
        <f t="shared" si="23"/>
        <v>6000</v>
      </c>
    </row>
    <row r="49" spans="1:56" ht="15" hidden="1" customHeight="1" outlineLevel="2">
      <c r="A49" s="746"/>
      <c r="B49" s="748"/>
      <c r="C49" s="235"/>
      <c r="D49" s="235"/>
      <c r="E49" s="785"/>
      <c r="F49" s="785"/>
      <c r="G49" s="249"/>
      <c r="H49" s="291"/>
      <c r="I49" s="249"/>
      <c r="J49" s="252"/>
      <c r="K49" s="278"/>
      <c r="L49" s="782"/>
      <c r="M49" s="269"/>
      <c r="Q49" s="28"/>
      <c r="R49" s="760"/>
      <c r="S49" s="761"/>
      <c r="T49" s="116"/>
      <c r="U49" s="27"/>
      <c r="V49" s="87"/>
      <c r="W49" s="77"/>
      <c r="X49" s="52"/>
      <c r="Y49" s="83"/>
      <c r="AA49" s="88"/>
      <c r="AB49" s="28"/>
      <c r="AC49" s="760"/>
      <c r="AD49" s="761"/>
      <c r="AE49" s="116"/>
      <c r="AF49" s="27"/>
      <c r="AG49" s="114"/>
      <c r="AH49" s="77"/>
      <c r="AI49" s="52"/>
      <c r="AJ49" s="83"/>
      <c r="AK49" s="778"/>
      <c r="AL49" s="118"/>
      <c r="AM49" s="88"/>
      <c r="AN49" s="28"/>
      <c r="AO49" s="760"/>
      <c r="AP49" s="761"/>
      <c r="AQ49" s="116"/>
      <c r="AR49" s="27"/>
      <c r="AS49" s="114"/>
      <c r="AT49" s="77"/>
      <c r="AU49" s="52"/>
      <c r="AV49" s="83"/>
      <c r="AW49" s="778"/>
      <c r="AX49" s="21"/>
      <c r="AY49" s="5">
        <f t="shared" si="19"/>
        <v>0</v>
      </c>
      <c r="BA49" s="113"/>
      <c r="BB49" s="5">
        <f t="shared" si="23"/>
        <v>0</v>
      </c>
    </row>
    <row r="50" spans="1:56" ht="15.75" hidden="1" customHeight="1" outlineLevel="2" thickBot="1">
      <c r="A50" s="746"/>
      <c r="B50" s="748"/>
      <c r="C50" s="235"/>
      <c r="D50" s="235"/>
      <c r="E50" s="785"/>
      <c r="F50" s="785"/>
      <c r="G50" s="249"/>
      <c r="H50" s="291"/>
      <c r="I50" s="249"/>
      <c r="J50" s="252"/>
      <c r="K50" s="278"/>
      <c r="L50" s="782"/>
      <c r="M50" s="269"/>
      <c r="Q50" s="28"/>
      <c r="R50" s="760"/>
      <c r="S50" s="761"/>
      <c r="T50" s="116"/>
      <c r="U50" s="27"/>
      <c r="V50" s="87"/>
      <c r="W50" s="77"/>
      <c r="X50" s="52"/>
      <c r="Y50" s="83"/>
      <c r="AA50" s="88"/>
      <c r="AB50" s="28"/>
      <c r="AC50" s="760"/>
      <c r="AD50" s="761"/>
      <c r="AE50" s="116"/>
      <c r="AF50" s="27"/>
      <c r="AG50" s="114"/>
      <c r="AH50" s="77"/>
      <c r="AI50" s="52"/>
      <c r="AJ50" s="83"/>
      <c r="AK50" s="778"/>
      <c r="AL50" s="118"/>
      <c r="AM50" s="88"/>
      <c r="AN50" s="28"/>
      <c r="AO50" s="760"/>
      <c r="AP50" s="761"/>
      <c r="AQ50" s="116"/>
      <c r="AR50" s="27"/>
      <c r="AS50" s="114"/>
      <c r="AT50" s="77"/>
      <c r="AU50" s="52"/>
      <c r="AV50" s="83"/>
      <c r="AW50" s="778"/>
      <c r="AX50" s="21"/>
      <c r="AY50" s="5">
        <f t="shared" si="19"/>
        <v>0</v>
      </c>
      <c r="BA50" s="113">
        <f t="shared" si="23"/>
        <v>0</v>
      </c>
      <c r="BB50" s="5">
        <f t="shared" si="23"/>
        <v>0</v>
      </c>
    </row>
    <row r="51" spans="1:56" ht="15" hidden="1" customHeight="1" outlineLevel="2" thickBot="1">
      <c r="A51" s="746"/>
      <c r="B51" s="748"/>
      <c r="C51" s="786"/>
      <c r="D51" s="786"/>
      <c r="E51" s="786"/>
      <c r="F51" s="786"/>
      <c r="G51" s="786"/>
      <c r="H51" s="786"/>
      <c r="I51" s="786"/>
      <c r="J51" s="786"/>
      <c r="K51" s="247">
        <f>SUM(K25:K50)</f>
        <v>0</v>
      </c>
      <c r="L51" s="782"/>
      <c r="M51" s="270"/>
      <c r="Q51" s="68"/>
      <c r="R51" s="68"/>
      <c r="S51" s="68"/>
      <c r="T51" s="68"/>
      <c r="U51" s="68"/>
      <c r="V51" s="125"/>
      <c r="W51" s="68"/>
      <c r="X51" s="68"/>
      <c r="Y51" s="92">
        <f>SUM(Y25:Y50)</f>
        <v>872.49664429530196</v>
      </c>
      <c r="AA51" s="787" t="s">
        <v>43</v>
      </c>
      <c r="AB51" s="788"/>
      <c r="AC51" s="788"/>
      <c r="AD51" s="788"/>
      <c r="AE51" s="788"/>
      <c r="AF51" s="788"/>
      <c r="AG51" s="788"/>
      <c r="AH51" s="788"/>
      <c r="AI51" s="789"/>
      <c r="AJ51" s="92">
        <f>SUM(AJ25:AJ50)</f>
        <v>872.49664429530196</v>
      </c>
      <c r="AK51" s="779"/>
      <c r="AL51" s="124"/>
      <c r="AM51" s="787" t="s">
        <v>43</v>
      </c>
      <c r="AN51" s="788"/>
      <c r="AO51" s="788"/>
      <c r="AP51" s="788"/>
      <c r="AQ51" s="788"/>
      <c r="AR51" s="788"/>
      <c r="AS51" s="788"/>
      <c r="AT51" s="788"/>
      <c r="AU51" s="789"/>
      <c r="AV51" s="92">
        <f>SUM(AV25:AV50)</f>
        <v>950.63758389261739</v>
      </c>
      <c r="AW51" s="779"/>
      <c r="AX51" s="21"/>
      <c r="AY51" s="126">
        <f>SUM(AY25:AY50)</f>
        <v>88122.161073825511</v>
      </c>
      <c r="AZ51" s="5">
        <v>130002</v>
      </c>
      <c r="BA51" s="127">
        <f>SUM(BA25:BA50)</f>
        <v>141645</v>
      </c>
      <c r="BB51" s="5">
        <f>SUM(BB25:BB50)</f>
        <v>141645</v>
      </c>
      <c r="BC51" s="77"/>
      <c r="BD51" s="51"/>
    </row>
    <row r="52" spans="1:56" s="39" customFormat="1" ht="15.75" hidden="1" customHeight="1" outlineLevel="2" thickBot="1">
      <c r="A52" s="746"/>
      <c r="B52" s="748"/>
      <c r="C52" s="293"/>
      <c r="D52" s="293"/>
      <c r="E52" s="293"/>
      <c r="F52" s="293"/>
      <c r="G52" s="293"/>
      <c r="H52" s="293"/>
      <c r="I52" s="293"/>
      <c r="J52" s="293"/>
      <c r="K52" s="283"/>
      <c r="L52" s="238"/>
      <c r="M52" s="271"/>
      <c r="P52" s="68"/>
      <c r="Q52" s="131"/>
      <c r="R52" s="131"/>
      <c r="S52" s="131"/>
      <c r="T52" s="131"/>
      <c r="U52" s="131"/>
      <c r="V52" s="132"/>
      <c r="W52" s="131"/>
      <c r="X52" s="133"/>
      <c r="Y52" s="128"/>
      <c r="AA52" s="134"/>
      <c r="AB52" s="131"/>
      <c r="AC52" s="131"/>
      <c r="AD52" s="131"/>
      <c r="AE52" s="131"/>
      <c r="AF52" s="131"/>
      <c r="AG52" s="131"/>
      <c r="AH52" s="131"/>
      <c r="AI52" s="133"/>
      <c r="AJ52" s="128"/>
      <c r="AK52" s="129"/>
      <c r="AL52" s="130"/>
      <c r="AM52" s="134"/>
      <c r="AN52" s="131"/>
      <c r="AO52" s="131"/>
      <c r="AP52" s="131"/>
      <c r="AQ52" s="131"/>
      <c r="AR52" s="131"/>
      <c r="AS52" s="131"/>
      <c r="AT52" s="131"/>
      <c r="AU52" s="133"/>
      <c r="AV52" s="128"/>
      <c r="AW52" s="129"/>
      <c r="AX52" s="135"/>
      <c r="AZ52" s="39">
        <f>AY51-AZ51</f>
        <v>-41879.838926174489</v>
      </c>
      <c r="BA52" s="136"/>
      <c r="BC52" s="84"/>
    </row>
    <row r="53" spans="1:56" ht="45" customHeight="1" collapsed="1">
      <c r="A53" s="746"/>
      <c r="B53" s="748"/>
      <c r="C53" s="749" t="s">
        <v>8</v>
      </c>
      <c r="D53" s="749"/>
      <c r="E53" s="749"/>
      <c r="F53" s="749"/>
      <c r="G53" s="749"/>
      <c r="H53" s="749"/>
      <c r="I53" s="749"/>
      <c r="J53" s="749"/>
      <c r="K53" s="749"/>
      <c r="L53" s="749"/>
      <c r="M53" s="82"/>
      <c r="Q53" s="68"/>
      <c r="R53" s="68"/>
      <c r="S53" s="68"/>
      <c r="T53" s="68"/>
      <c r="U53" s="68"/>
      <c r="V53" s="125"/>
      <c r="W53" s="68"/>
      <c r="X53" s="68"/>
      <c r="Y53" s="68"/>
      <c r="AA53" s="750" t="s">
        <v>8</v>
      </c>
      <c r="AB53" s="751"/>
      <c r="AC53" s="751"/>
      <c r="AD53" s="751"/>
      <c r="AE53" s="751"/>
      <c r="AF53" s="751"/>
      <c r="AG53" s="751"/>
      <c r="AH53" s="751"/>
      <c r="AI53" s="751"/>
      <c r="AJ53" s="751"/>
      <c r="AK53" s="752"/>
      <c r="AL53" s="82"/>
      <c r="AM53" s="750" t="s">
        <v>8</v>
      </c>
      <c r="AN53" s="751"/>
      <c r="AO53" s="751"/>
      <c r="AP53" s="751"/>
      <c r="AQ53" s="751"/>
      <c r="AR53" s="751"/>
      <c r="AS53" s="751"/>
      <c r="AT53" s="751"/>
      <c r="AU53" s="751"/>
      <c r="AV53" s="751"/>
      <c r="AW53" s="752"/>
      <c r="AX53" s="19"/>
    </row>
    <row r="54" spans="1:56" ht="26.25" customHeight="1" outlineLevel="2">
      <c r="A54" s="746"/>
      <c r="B54" s="748"/>
      <c r="C54" s="294" t="s">
        <v>101</v>
      </c>
      <c r="D54" s="238" t="s">
        <v>223</v>
      </c>
      <c r="E54" s="790" t="e">
        <f>'расчет по услугам'!#REF!</f>
        <v>#REF!</v>
      </c>
      <c r="F54" s="790"/>
      <c r="G54" s="249">
        <f>G14</f>
        <v>48</v>
      </c>
      <c r="H54" s="295" t="e">
        <f>#REF!/G54</f>
        <v>#REF!</v>
      </c>
      <c r="I54" s="249">
        <v>1</v>
      </c>
      <c r="J54" s="252">
        <v>3375</v>
      </c>
      <c r="K54" s="280">
        <f t="shared" ref="K54:K66" si="36">IFERROR(H54*J54/I54,0)</f>
        <v>0</v>
      </c>
      <c r="L54" s="296"/>
      <c r="M54" s="272"/>
      <c r="Q54" s="139" t="s">
        <v>101</v>
      </c>
      <c r="R54" s="791" t="s">
        <v>223</v>
      </c>
      <c r="S54" s="792"/>
      <c r="T54" s="140">
        <f>16/149*U54</f>
        <v>5.1543624161073822</v>
      </c>
      <c r="U54" s="27">
        <f>U14</f>
        <v>48</v>
      </c>
      <c r="V54" s="87">
        <f t="shared" ref="V54:V66" si="37">T54/U54</f>
        <v>0.10738255033557047</v>
      </c>
      <c r="W54" s="77">
        <v>1</v>
      </c>
      <c r="X54" s="52">
        <v>3375</v>
      </c>
      <c r="Y54" s="89">
        <f t="shared" ref="Y54:Y66" si="38">IFERROR(V54*X54/W54,0)</f>
        <v>362.41610738255031</v>
      </c>
      <c r="AA54" s="88">
        <v>1</v>
      </c>
      <c r="AB54" s="139" t="s">
        <v>101</v>
      </c>
      <c r="AC54" s="791" t="s">
        <v>223</v>
      </c>
      <c r="AD54" s="792"/>
      <c r="AE54" s="140">
        <f>16/149*AF54</f>
        <v>10.845637583892618</v>
      </c>
      <c r="AF54" s="27">
        <f>AF14</f>
        <v>101</v>
      </c>
      <c r="AG54" s="137">
        <f t="shared" ref="AG54:AG66" si="39">AE54/AF54</f>
        <v>0.10738255033557047</v>
      </c>
      <c r="AH54" s="77">
        <v>1</v>
      </c>
      <c r="AI54" s="52">
        <v>3375</v>
      </c>
      <c r="AJ54" s="89">
        <f t="shared" ref="AJ54:AJ66" si="40">IFERROR(AG54*AI54/AH54,0)</f>
        <v>362.41610738255031</v>
      </c>
      <c r="AK54" s="25"/>
      <c r="AL54" s="138"/>
      <c r="AM54" s="88"/>
      <c r="AN54" s="139"/>
      <c r="AO54" s="791"/>
      <c r="AP54" s="792"/>
      <c r="AQ54" s="140"/>
      <c r="AR54" s="27"/>
      <c r="AS54" s="137"/>
      <c r="AT54" s="77"/>
      <c r="AU54" s="52"/>
      <c r="AV54" s="89"/>
      <c r="AW54" s="25"/>
      <c r="AX54" s="22"/>
      <c r="AY54" s="5">
        <f>AJ54*AF54</f>
        <v>36604.026845637578</v>
      </c>
    </row>
    <row r="55" spans="1:56" ht="30" outlineLevel="2">
      <c r="A55" s="746"/>
      <c r="B55" s="748"/>
      <c r="C55" s="297" t="s">
        <v>103</v>
      </c>
      <c r="D55" s="238" t="s">
        <v>223</v>
      </c>
      <c r="E55" s="790" t="e">
        <f>'расчет по услугам'!#REF!</f>
        <v>#REF!</v>
      </c>
      <c r="F55" s="790"/>
      <c r="G55" s="249">
        <f>G15</f>
        <v>48</v>
      </c>
      <c r="H55" s="295" t="e">
        <f>#REF!/G55</f>
        <v>#REF!</v>
      </c>
      <c r="I55" s="249">
        <v>1</v>
      </c>
      <c r="J55" s="252">
        <v>9385.7139999999999</v>
      </c>
      <c r="K55" s="280">
        <f t="shared" si="36"/>
        <v>0</v>
      </c>
      <c r="L55" s="296"/>
      <c r="M55" s="272"/>
      <c r="Q55" s="141" t="s">
        <v>103</v>
      </c>
      <c r="R55" s="791" t="s">
        <v>223</v>
      </c>
      <c r="S55" s="792"/>
      <c r="T55" s="140">
        <f>7/149*U55</f>
        <v>2.2550335570469802</v>
      </c>
      <c r="U55" s="27">
        <f>U15</f>
        <v>48</v>
      </c>
      <c r="V55" s="87">
        <f t="shared" si="37"/>
        <v>4.6979865771812089E-2</v>
      </c>
      <c r="W55" s="77">
        <v>1</v>
      </c>
      <c r="X55" s="52">
        <v>9385.7139999999999</v>
      </c>
      <c r="Y55" s="89">
        <f t="shared" si="38"/>
        <v>440.93958389261752</v>
      </c>
      <c r="AA55" s="88">
        <v>2</v>
      </c>
      <c r="AB55" s="141" t="s">
        <v>103</v>
      </c>
      <c r="AC55" s="791" t="s">
        <v>223</v>
      </c>
      <c r="AD55" s="792"/>
      <c r="AE55" s="140">
        <f>7/149*AF55</f>
        <v>4.7449664429530207</v>
      </c>
      <c r="AF55" s="27">
        <f>AF15</f>
        <v>101</v>
      </c>
      <c r="AG55" s="137">
        <f t="shared" si="39"/>
        <v>4.6979865771812089E-2</v>
      </c>
      <c r="AH55" s="77">
        <v>1</v>
      </c>
      <c r="AI55" s="52">
        <v>9385.7139999999999</v>
      </c>
      <c r="AJ55" s="89">
        <f t="shared" si="40"/>
        <v>440.93958389261752</v>
      </c>
      <c r="AK55" s="25"/>
      <c r="AL55" s="138"/>
      <c r="AM55" s="88"/>
      <c r="AN55" s="141"/>
      <c r="AO55" s="791"/>
      <c r="AP55" s="792"/>
      <c r="AQ55" s="140"/>
      <c r="AR55" s="27"/>
      <c r="AS55" s="137"/>
      <c r="AT55" s="77"/>
      <c r="AU55" s="52"/>
      <c r="AV55" s="89"/>
      <c r="AW55" s="25"/>
      <c r="AX55" s="22"/>
      <c r="AY55" s="38">
        <f>AJ55*AF55</f>
        <v>44534.897973154366</v>
      </c>
    </row>
    <row r="56" spans="1:56" ht="30" hidden="1" outlineLevel="2">
      <c r="A56" s="746"/>
      <c r="B56" s="748"/>
      <c r="C56" s="297"/>
      <c r="D56" s="224"/>
      <c r="E56" s="790"/>
      <c r="F56" s="790"/>
      <c r="G56" s="249">
        <f t="shared" ref="G56" si="41">G17</f>
        <v>48</v>
      </c>
      <c r="H56" s="295" t="e">
        <f>#REF!/G56</f>
        <v>#REF!</v>
      </c>
      <c r="I56" s="249">
        <v>1</v>
      </c>
      <c r="J56" s="252">
        <v>5000</v>
      </c>
      <c r="K56" s="280">
        <f t="shared" si="36"/>
        <v>0</v>
      </c>
      <c r="L56" s="296"/>
      <c r="M56" s="272"/>
      <c r="Q56" s="139" t="s">
        <v>224</v>
      </c>
      <c r="R56" s="791" t="s">
        <v>53</v>
      </c>
      <c r="S56" s="792"/>
      <c r="T56" s="140">
        <f>1/149*U56</f>
        <v>0.32214765100671139</v>
      </c>
      <c r="U56" s="27">
        <f t="shared" ref="U56" si="42">U17</f>
        <v>48</v>
      </c>
      <c r="V56" s="87">
        <f t="shared" si="37"/>
        <v>6.7114093959731542E-3</v>
      </c>
      <c r="W56" s="77">
        <v>1</v>
      </c>
      <c r="X56" s="52">
        <v>5000</v>
      </c>
      <c r="Y56" s="89">
        <f t="shared" si="38"/>
        <v>33.557046979865774</v>
      </c>
      <c r="AA56" s="88">
        <v>3</v>
      </c>
      <c r="AB56" s="139" t="s">
        <v>224</v>
      </c>
      <c r="AC56" s="791" t="s">
        <v>53</v>
      </c>
      <c r="AD56" s="792"/>
      <c r="AE56" s="140">
        <f>1/149*AF56</f>
        <v>0.67785234899328861</v>
      </c>
      <c r="AF56" s="27">
        <f t="shared" ref="AF56" si="43">AF17</f>
        <v>101</v>
      </c>
      <c r="AG56" s="137">
        <f t="shared" si="39"/>
        <v>6.7114093959731542E-3</v>
      </c>
      <c r="AH56" s="77">
        <v>1</v>
      </c>
      <c r="AI56" s="52">
        <v>5000</v>
      </c>
      <c r="AJ56" s="89">
        <f t="shared" si="40"/>
        <v>33.557046979865774</v>
      </c>
      <c r="AK56" s="25"/>
      <c r="AL56" s="138"/>
      <c r="AM56" s="88"/>
      <c r="AN56" s="139"/>
      <c r="AO56" s="791"/>
      <c r="AP56" s="792"/>
      <c r="AQ56" s="140"/>
      <c r="AR56" s="27"/>
      <c r="AS56" s="137"/>
      <c r="AT56" s="77"/>
      <c r="AU56" s="52"/>
      <c r="AV56" s="89"/>
      <c r="AW56" s="25"/>
      <c r="AX56" s="22"/>
      <c r="AY56" s="5">
        <f t="shared" ref="AY56:AY66" si="44">AJ56*AF56</f>
        <v>3389.2617449664431</v>
      </c>
    </row>
    <row r="57" spans="1:56" ht="15" hidden="1" customHeight="1" outlineLevel="2">
      <c r="A57" s="746"/>
      <c r="B57" s="748"/>
      <c r="C57" s="298"/>
      <c r="D57" s="298"/>
      <c r="E57" s="298"/>
      <c r="F57" s="299"/>
      <c r="G57" s="249">
        <f>G14</f>
        <v>48</v>
      </c>
      <c r="H57" s="299" t="e">
        <f>#REF!/G57</f>
        <v>#REF!</v>
      </c>
      <c r="I57" s="249">
        <v>1</v>
      </c>
      <c r="J57" s="252">
        <v>7000</v>
      </c>
      <c r="K57" s="280">
        <f t="shared" si="36"/>
        <v>0</v>
      </c>
      <c r="L57" s="296"/>
      <c r="M57" s="272"/>
      <c r="Q57" s="142"/>
      <c r="R57" s="29"/>
      <c r="S57" s="26"/>
      <c r="T57" s="140">
        <v>0.4</v>
      </c>
      <c r="U57" s="27">
        <f>U14</f>
        <v>48</v>
      </c>
      <c r="V57" s="87">
        <f t="shared" si="37"/>
        <v>8.3333333333333332E-3</v>
      </c>
      <c r="W57" s="77">
        <v>1</v>
      </c>
      <c r="X57" s="52">
        <v>7000</v>
      </c>
      <c r="Y57" s="89">
        <f t="shared" si="38"/>
        <v>58.333333333333336</v>
      </c>
      <c r="AA57" s="88">
        <v>8</v>
      </c>
      <c r="AB57" s="142"/>
      <c r="AC57" s="29"/>
      <c r="AD57" s="26"/>
      <c r="AE57" s="140">
        <v>0.4</v>
      </c>
      <c r="AF57" s="27">
        <f>AF14</f>
        <v>101</v>
      </c>
      <c r="AG57" s="26">
        <f t="shared" si="39"/>
        <v>3.9603960396039604E-3</v>
      </c>
      <c r="AH57" s="77">
        <v>1</v>
      </c>
      <c r="AI57" s="52">
        <v>7000</v>
      </c>
      <c r="AJ57" s="89">
        <f t="shared" si="40"/>
        <v>27.722772277227723</v>
      </c>
      <c r="AK57" s="25"/>
      <c r="AL57" s="138"/>
      <c r="AM57" s="88">
        <v>8</v>
      </c>
      <c r="AN57" s="142"/>
      <c r="AO57" s="29"/>
      <c r="AP57" s="26"/>
      <c r="AQ57" s="140">
        <v>0.4</v>
      </c>
      <c r="AR57" s="27">
        <f>AR14</f>
        <v>0</v>
      </c>
      <c r="AS57" s="26" t="e">
        <f t="shared" ref="AS57:AS66" si="45">AQ57/AR57</f>
        <v>#DIV/0!</v>
      </c>
      <c r="AT57" s="77">
        <v>1</v>
      </c>
      <c r="AU57" s="52">
        <v>7000</v>
      </c>
      <c r="AV57" s="89">
        <f t="shared" ref="AV57:AV66" si="46">IFERROR(AS57*AU57/AT57,0)</f>
        <v>0</v>
      </c>
      <c r="AW57" s="25"/>
      <c r="AX57" s="22"/>
      <c r="AY57" s="5">
        <f t="shared" si="44"/>
        <v>2800</v>
      </c>
    </row>
    <row r="58" spans="1:56" ht="15" hidden="1" customHeight="1" outlineLevel="2">
      <c r="A58" s="746"/>
      <c r="B58" s="748"/>
      <c r="C58" s="298"/>
      <c r="D58" s="298"/>
      <c r="E58" s="298"/>
      <c r="F58" s="299"/>
      <c r="G58" s="249">
        <f>G14</f>
        <v>48</v>
      </c>
      <c r="H58" s="299" t="e">
        <f>#REF!/G58</f>
        <v>#REF!</v>
      </c>
      <c r="I58" s="249">
        <v>1</v>
      </c>
      <c r="J58" s="252">
        <v>7000</v>
      </c>
      <c r="K58" s="280">
        <f t="shared" si="36"/>
        <v>0</v>
      </c>
      <c r="L58" s="800"/>
      <c r="M58" s="268"/>
      <c r="Q58" s="142"/>
      <c r="R58" s="29"/>
      <c r="S58" s="26"/>
      <c r="T58" s="140">
        <v>0.4</v>
      </c>
      <c r="U58" s="27">
        <f>U14</f>
        <v>48</v>
      </c>
      <c r="V58" s="87">
        <f t="shared" si="37"/>
        <v>8.3333333333333332E-3</v>
      </c>
      <c r="W58" s="77">
        <v>1</v>
      </c>
      <c r="X58" s="52">
        <v>7000</v>
      </c>
      <c r="Y58" s="89">
        <f t="shared" si="38"/>
        <v>58.333333333333336</v>
      </c>
      <c r="AA58" s="88">
        <v>9</v>
      </c>
      <c r="AB58" s="142"/>
      <c r="AC58" s="29"/>
      <c r="AD58" s="26"/>
      <c r="AE58" s="140">
        <v>0.4</v>
      </c>
      <c r="AF58" s="27">
        <f>AF14</f>
        <v>101</v>
      </c>
      <c r="AG58" s="26">
        <f t="shared" si="39"/>
        <v>3.9603960396039604E-3</v>
      </c>
      <c r="AH58" s="77">
        <v>1</v>
      </c>
      <c r="AI58" s="52">
        <v>7000</v>
      </c>
      <c r="AJ58" s="89">
        <f t="shared" si="40"/>
        <v>27.722772277227723</v>
      </c>
      <c r="AK58" s="793"/>
      <c r="AL58" s="115"/>
      <c r="AM58" s="88">
        <v>9</v>
      </c>
      <c r="AN58" s="142"/>
      <c r="AO58" s="29"/>
      <c r="AP58" s="26"/>
      <c r="AQ58" s="140">
        <v>0.4</v>
      </c>
      <c r="AR58" s="27">
        <f>AR14</f>
        <v>0</v>
      </c>
      <c r="AS58" s="26" t="e">
        <f t="shared" si="45"/>
        <v>#DIV/0!</v>
      </c>
      <c r="AT58" s="77">
        <v>1</v>
      </c>
      <c r="AU58" s="52">
        <v>7000</v>
      </c>
      <c r="AV58" s="89">
        <f t="shared" si="46"/>
        <v>0</v>
      </c>
      <c r="AW58" s="793" t="s">
        <v>62</v>
      </c>
      <c r="AX58" s="22"/>
      <c r="AY58" s="5">
        <f t="shared" si="44"/>
        <v>2800</v>
      </c>
    </row>
    <row r="59" spans="1:56" ht="15" hidden="1" customHeight="1" outlineLevel="2">
      <c r="A59" s="746"/>
      <c r="B59" s="748"/>
      <c r="C59" s="298"/>
      <c r="D59" s="298"/>
      <c r="E59" s="298"/>
      <c r="F59" s="299"/>
      <c r="G59" s="249">
        <f>G15</f>
        <v>48</v>
      </c>
      <c r="H59" s="299" t="e">
        <f>#REF!/G59</f>
        <v>#REF!</v>
      </c>
      <c r="I59" s="249">
        <v>1</v>
      </c>
      <c r="J59" s="252">
        <v>7000</v>
      </c>
      <c r="K59" s="280">
        <f t="shared" si="36"/>
        <v>0</v>
      </c>
      <c r="L59" s="800"/>
      <c r="M59" s="269"/>
      <c r="Q59" s="142"/>
      <c r="R59" s="29"/>
      <c r="S59" s="26"/>
      <c r="T59" s="140">
        <v>0.4</v>
      </c>
      <c r="U59" s="27">
        <f>U15</f>
        <v>48</v>
      </c>
      <c r="V59" s="87">
        <f t="shared" si="37"/>
        <v>8.3333333333333332E-3</v>
      </c>
      <c r="W59" s="77">
        <v>1</v>
      </c>
      <c r="X59" s="52">
        <v>7000</v>
      </c>
      <c r="Y59" s="89">
        <f t="shared" si="38"/>
        <v>58.333333333333336</v>
      </c>
      <c r="AA59" s="88">
        <v>10</v>
      </c>
      <c r="AB59" s="142"/>
      <c r="AC59" s="29"/>
      <c r="AD59" s="26"/>
      <c r="AE59" s="140">
        <v>0.4</v>
      </c>
      <c r="AF59" s="27">
        <f>AF15</f>
        <v>101</v>
      </c>
      <c r="AG59" s="26">
        <f t="shared" si="39"/>
        <v>3.9603960396039604E-3</v>
      </c>
      <c r="AH59" s="77">
        <v>1</v>
      </c>
      <c r="AI59" s="52">
        <v>7000</v>
      </c>
      <c r="AJ59" s="89">
        <f t="shared" si="40"/>
        <v>27.722772277227723</v>
      </c>
      <c r="AK59" s="794"/>
      <c r="AL59" s="118"/>
      <c r="AM59" s="88">
        <v>10</v>
      </c>
      <c r="AN59" s="142"/>
      <c r="AO59" s="29"/>
      <c r="AP59" s="26"/>
      <c r="AQ59" s="140">
        <v>0.4</v>
      </c>
      <c r="AR59" s="27">
        <f>AR15</f>
        <v>0</v>
      </c>
      <c r="AS59" s="26" t="e">
        <f t="shared" si="45"/>
        <v>#DIV/0!</v>
      </c>
      <c r="AT59" s="77">
        <v>1</v>
      </c>
      <c r="AU59" s="52">
        <v>7000</v>
      </c>
      <c r="AV59" s="89">
        <f t="shared" si="46"/>
        <v>0</v>
      </c>
      <c r="AW59" s="794"/>
      <c r="AX59" s="22"/>
      <c r="AY59" s="5">
        <f t="shared" si="44"/>
        <v>2800</v>
      </c>
    </row>
    <row r="60" spans="1:56" ht="15" hidden="1" customHeight="1" outlineLevel="2">
      <c r="A60" s="746"/>
      <c r="B60" s="748"/>
      <c r="C60" s="298"/>
      <c r="D60" s="298"/>
      <c r="E60" s="298"/>
      <c r="F60" s="299"/>
      <c r="G60" s="249">
        <f>G17</f>
        <v>48</v>
      </c>
      <c r="H60" s="299" t="e">
        <f>#REF!/G60</f>
        <v>#REF!</v>
      </c>
      <c r="I60" s="249">
        <v>1</v>
      </c>
      <c r="J60" s="252">
        <v>7000</v>
      </c>
      <c r="K60" s="280">
        <f t="shared" si="36"/>
        <v>0</v>
      </c>
      <c r="L60" s="800"/>
      <c r="M60" s="269"/>
      <c r="Q60" s="142"/>
      <c r="R60" s="29"/>
      <c r="S60" s="26"/>
      <c r="T60" s="140">
        <v>0.4</v>
      </c>
      <c r="U60" s="27">
        <f>U17</f>
        <v>48</v>
      </c>
      <c r="V60" s="87">
        <f t="shared" si="37"/>
        <v>8.3333333333333332E-3</v>
      </c>
      <c r="W60" s="77">
        <v>1</v>
      </c>
      <c r="X60" s="52">
        <v>7000</v>
      </c>
      <c r="Y60" s="89">
        <f t="shared" si="38"/>
        <v>58.333333333333336</v>
      </c>
      <c r="AA60" s="88">
        <v>11</v>
      </c>
      <c r="AB60" s="142"/>
      <c r="AC60" s="29"/>
      <c r="AD60" s="26"/>
      <c r="AE60" s="140">
        <v>0.4</v>
      </c>
      <c r="AF60" s="27">
        <f>AF17</f>
        <v>101</v>
      </c>
      <c r="AG60" s="26">
        <f t="shared" si="39"/>
        <v>3.9603960396039604E-3</v>
      </c>
      <c r="AH60" s="77">
        <v>1</v>
      </c>
      <c r="AI60" s="52">
        <v>7000</v>
      </c>
      <c r="AJ60" s="89">
        <f t="shared" si="40"/>
        <v>27.722772277227723</v>
      </c>
      <c r="AK60" s="794"/>
      <c r="AL60" s="118"/>
      <c r="AM60" s="88">
        <v>11</v>
      </c>
      <c r="AN60" s="142"/>
      <c r="AO60" s="29"/>
      <c r="AP60" s="26"/>
      <c r="AQ60" s="140">
        <v>0.4</v>
      </c>
      <c r="AR60" s="27">
        <f>AR17</f>
        <v>0</v>
      </c>
      <c r="AS60" s="26" t="e">
        <f t="shared" si="45"/>
        <v>#DIV/0!</v>
      </c>
      <c r="AT60" s="77">
        <v>1</v>
      </c>
      <c r="AU60" s="52">
        <v>7000</v>
      </c>
      <c r="AV60" s="89">
        <f t="shared" si="46"/>
        <v>0</v>
      </c>
      <c r="AW60" s="794"/>
      <c r="AX60" s="22"/>
      <c r="AY60" s="5">
        <f t="shared" si="44"/>
        <v>2800</v>
      </c>
    </row>
    <row r="61" spans="1:56" ht="15" hidden="1" customHeight="1" outlineLevel="2">
      <c r="A61" s="746"/>
      <c r="B61" s="748"/>
      <c r="C61" s="298"/>
      <c r="D61" s="298"/>
      <c r="E61" s="298"/>
      <c r="F61" s="299"/>
      <c r="G61" s="249">
        <f>G18</f>
        <v>48</v>
      </c>
      <c r="H61" s="299" t="e">
        <f>#REF!/G61</f>
        <v>#REF!</v>
      </c>
      <c r="I61" s="249">
        <v>1</v>
      </c>
      <c r="J61" s="252">
        <v>7000</v>
      </c>
      <c r="K61" s="280">
        <f t="shared" si="36"/>
        <v>0</v>
      </c>
      <c r="L61" s="800"/>
      <c r="M61" s="269"/>
      <c r="Q61" s="142"/>
      <c r="R61" s="29"/>
      <c r="S61" s="26"/>
      <c r="T61" s="140">
        <v>0.4</v>
      </c>
      <c r="U61" s="27">
        <f>U18</f>
        <v>48</v>
      </c>
      <c r="V61" s="87">
        <f t="shared" si="37"/>
        <v>8.3333333333333332E-3</v>
      </c>
      <c r="W61" s="77">
        <v>1</v>
      </c>
      <c r="X61" s="52">
        <v>7000</v>
      </c>
      <c r="Y61" s="89">
        <f t="shared" si="38"/>
        <v>58.333333333333336</v>
      </c>
      <c r="AA61" s="88">
        <v>11</v>
      </c>
      <c r="AB61" s="142"/>
      <c r="AC61" s="29"/>
      <c r="AD61" s="26"/>
      <c r="AE61" s="140">
        <v>0.4</v>
      </c>
      <c r="AF61" s="27">
        <f>AF18</f>
        <v>101</v>
      </c>
      <c r="AG61" s="26">
        <f t="shared" si="39"/>
        <v>3.9603960396039604E-3</v>
      </c>
      <c r="AH61" s="77">
        <v>1</v>
      </c>
      <c r="AI61" s="52">
        <v>7000</v>
      </c>
      <c r="AJ61" s="89">
        <f t="shared" si="40"/>
        <v>27.722772277227723</v>
      </c>
      <c r="AK61" s="794"/>
      <c r="AL61" s="118"/>
      <c r="AM61" s="88">
        <v>11</v>
      </c>
      <c r="AN61" s="142"/>
      <c r="AO61" s="29"/>
      <c r="AP61" s="26"/>
      <c r="AQ61" s="140">
        <v>0.4</v>
      </c>
      <c r="AR61" s="27">
        <f>AR18</f>
        <v>0</v>
      </c>
      <c r="AS61" s="26" t="e">
        <f t="shared" si="45"/>
        <v>#DIV/0!</v>
      </c>
      <c r="AT61" s="77">
        <v>1</v>
      </c>
      <c r="AU61" s="52">
        <v>7000</v>
      </c>
      <c r="AV61" s="89">
        <f t="shared" si="46"/>
        <v>0</v>
      </c>
      <c r="AW61" s="794"/>
      <c r="AX61" s="22"/>
      <c r="AY61" s="5">
        <f t="shared" si="44"/>
        <v>2800</v>
      </c>
    </row>
    <row r="62" spans="1:56" ht="15" hidden="1" customHeight="1" outlineLevel="2">
      <c r="A62" s="746"/>
      <c r="B62" s="748"/>
      <c r="C62" s="299" t="s">
        <v>24</v>
      </c>
      <c r="D62" s="299"/>
      <c r="E62" s="299"/>
      <c r="F62" s="299"/>
      <c r="G62" s="249" t="e">
        <f>#REF!</f>
        <v>#REF!</v>
      </c>
      <c r="H62" s="299" t="e">
        <f>#REF!/G62</f>
        <v>#REF!</v>
      </c>
      <c r="I62" s="249">
        <v>1</v>
      </c>
      <c r="J62" s="252">
        <v>7000</v>
      </c>
      <c r="K62" s="280">
        <f t="shared" si="36"/>
        <v>0</v>
      </c>
      <c r="L62" s="800"/>
      <c r="M62" s="269"/>
      <c r="Q62" s="26" t="s">
        <v>24</v>
      </c>
      <c r="R62" s="26"/>
      <c r="S62" s="26"/>
      <c r="T62" s="140">
        <v>0.4</v>
      </c>
      <c r="U62" s="27" t="e">
        <f>#REF!</f>
        <v>#REF!</v>
      </c>
      <c r="V62" s="87" t="e">
        <f t="shared" si="37"/>
        <v>#REF!</v>
      </c>
      <c r="W62" s="77">
        <v>1</v>
      </c>
      <c r="X62" s="52">
        <v>7000</v>
      </c>
      <c r="Y62" s="89">
        <f t="shared" si="38"/>
        <v>0</v>
      </c>
      <c r="AA62" s="88">
        <v>12</v>
      </c>
      <c r="AB62" s="26" t="s">
        <v>24</v>
      </c>
      <c r="AC62" s="26"/>
      <c r="AD62" s="26"/>
      <c r="AE62" s="140">
        <v>0.4</v>
      </c>
      <c r="AF62" s="27" t="e">
        <f>#REF!</f>
        <v>#REF!</v>
      </c>
      <c r="AG62" s="26" t="e">
        <f t="shared" si="39"/>
        <v>#REF!</v>
      </c>
      <c r="AH62" s="77">
        <v>1</v>
      </c>
      <c r="AI62" s="52">
        <v>7000</v>
      </c>
      <c r="AJ62" s="89">
        <f t="shared" si="40"/>
        <v>0</v>
      </c>
      <c r="AK62" s="794"/>
      <c r="AL62" s="118"/>
      <c r="AM62" s="88">
        <v>12</v>
      </c>
      <c r="AN62" s="26" t="s">
        <v>24</v>
      </c>
      <c r="AO62" s="26"/>
      <c r="AP62" s="26"/>
      <c r="AQ62" s="140">
        <v>0.4</v>
      </c>
      <c r="AR62" s="27" t="e">
        <f>#REF!</f>
        <v>#REF!</v>
      </c>
      <c r="AS62" s="26" t="e">
        <f t="shared" si="45"/>
        <v>#REF!</v>
      </c>
      <c r="AT62" s="77">
        <v>1</v>
      </c>
      <c r="AU62" s="52">
        <v>7000</v>
      </c>
      <c r="AV62" s="89">
        <f t="shared" si="46"/>
        <v>0</v>
      </c>
      <c r="AW62" s="794"/>
      <c r="AX62" s="22"/>
      <c r="AY62" s="5" t="e">
        <f t="shared" si="44"/>
        <v>#REF!</v>
      </c>
    </row>
    <row r="63" spans="1:56" ht="15" hidden="1" customHeight="1" outlineLevel="2">
      <c r="A63" s="746"/>
      <c r="B63" s="748"/>
      <c r="C63" s="299" t="s">
        <v>24</v>
      </c>
      <c r="D63" s="299"/>
      <c r="E63" s="299"/>
      <c r="F63" s="299"/>
      <c r="G63" s="249" t="e">
        <f>#REF!</f>
        <v>#REF!</v>
      </c>
      <c r="H63" s="299" t="e">
        <f>#REF!/G63</f>
        <v>#REF!</v>
      </c>
      <c r="I63" s="249">
        <v>1</v>
      </c>
      <c r="J63" s="252">
        <v>7000</v>
      </c>
      <c r="K63" s="280">
        <f t="shared" si="36"/>
        <v>0</v>
      </c>
      <c r="L63" s="800"/>
      <c r="M63" s="269"/>
      <c r="Q63" s="26" t="s">
        <v>24</v>
      </c>
      <c r="R63" s="26"/>
      <c r="S63" s="26"/>
      <c r="T63" s="140">
        <v>0.4</v>
      </c>
      <c r="U63" s="27" t="e">
        <f>#REF!</f>
        <v>#REF!</v>
      </c>
      <c r="V63" s="87" t="e">
        <f t="shared" si="37"/>
        <v>#REF!</v>
      </c>
      <c r="W63" s="77">
        <v>1</v>
      </c>
      <c r="X63" s="52">
        <v>7000</v>
      </c>
      <c r="Y63" s="89">
        <f t="shared" si="38"/>
        <v>0</v>
      </c>
      <c r="AA63" s="88">
        <v>13</v>
      </c>
      <c r="AB63" s="26" t="s">
        <v>24</v>
      </c>
      <c r="AC63" s="26"/>
      <c r="AD63" s="26"/>
      <c r="AE63" s="140">
        <v>0.4</v>
      </c>
      <c r="AF63" s="27" t="e">
        <f>#REF!</f>
        <v>#REF!</v>
      </c>
      <c r="AG63" s="26" t="e">
        <f t="shared" si="39"/>
        <v>#REF!</v>
      </c>
      <c r="AH63" s="77">
        <v>1</v>
      </c>
      <c r="AI63" s="52">
        <v>7000</v>
      </c>
      <c r="AJ63" s="89">
        <f t="shared" si="40"/>
        <v>0</v>
      </c>
      <c r="AK63" s="794"/>
      <c r="AL63" s="118"/>
      <c r="AM63" s="88">
        <v>13</v>
      </c>
      <c r="AN63" s="26" t="s">
        <v>24</v>
      </c>
      <c r="AO63" s="26"/>
      <c r="AP63" s="26"/>
      <c r="AQ63" s="140">
        <v>0.4</v>
      </c>
      <c r="AR63" s="27" t="e">
        <f>#REF!</f>
        <v>#REF!</v>
      </c>
      <c r="AS63" s="26" t="e">
        <f t="shared" si="45"/>
        <v>#REF!</v>
      </c>
      <c r="AT63" s="77">
        <v>1</v>
      </c>
      <c r="AU63" s="52">
        <v>7000</v>
      </c>
      <c r="AV63" s="89">
        <f t="shared" si="46"/>
        <v>0</v>
      </c>
      <c r="AW63" s="794"/>
      <c r="AX63" s="22"/>
      <c r="AY63" s="5" t="e">
        <f t="shared" si="44"/>
        <v>#REF!</v>
      </c>
    </row>
    <row r="64" spans="1:56" ht="15" hidden="1" customHeight="1" outlineLevel="2">
      <c r="A64" s="746"/>
      <c r="B64" s="748"/>
      <c r="C64" s="299" t="s">
        <v>24</v>
      </c>
      <c r="D64" s="299"/>
      <c r="E64" s="299"/>
      <c r="F64" s="299"/>
      <c r="G64" s="249" t="e">
        <f>#REF!</f>
        <v>#REF!</v>
      </c>
      <c r="H64" s="299" t="e">
        <f>#REF!/G64</f>
        <v>#REF!</v>
      </c>
      <c r="I64" s="249">
        <v>1</v>
      </c>
      <c r="J64" s="252">
        <v>7000</v>
      </c>
      <c r="K64" s="280">
        <f t="shared" si="36"/>
        <v>0</v>
      </c>
      <c r="L64" s="800"/>
      <c r="M64" s="269"/>
      <c r="Q64" s="26" t="s">
        <v>24</v>
      </c>
      <c r="R64" s="26"/>
      <c r="S64" s="26"/>
      <c r="T64" s="140">
        <v>0.4</v>
      </c>
      <c r="U64" s="27" t="e">
        <f>#REF!</f>
        <v>#REF!</v>
      </c>
      <c r="V64" s="87" t="e">
        <f t="shared" si="37"/>
        <v>#REF!</v>
      </c>
      <c r="W64" s="77">
        <v>1</v>
      </c>
      <c r="X64" s="52">
        <v>7000</v>
      </c>
      <c r="Y64" s="89">
        <f t="shared" si="38"/>
        <v>0</v>
      </c>
      <c r="AA64" s="88">
        <v>1</v>
      </c>
      <c r="AB64" s="26" t="s">
        <v>24</v>
      </c>
      <c r="AC64" s="26"/>
      <c r="AD64" s="26"/>
      <c r="AE64" s="140">
        <v>0.4</v>
      </c>
      <c r="AF64" s="27" t="e">
        <f>#REF!</f>
        <v>#REF!</v>
      </c>
      <c r="AG64" s="26" t="e">
        <f t="shared" si="39"/>
        <v>#REF!</v>
      </c>
      <c r="AH64" s="77">
        <v>1</v>
      </c>
      <c r="AI64" s="52">
        <v>7000</v>
      </c>
      <c r="AJ64" s="89">
        <f t="shared" si="40"/>
        <v>0</v>
      </c>
      <c r="AK64" s="794"/>
      <c r="AL64" s="118"/>
      <c r="AM64" s="88">
        <v>1</v>
      </c>
      <c r="AN64" s="26" t="s">
        <v>24</v>
      </c>
      <c r="AO64" s="26"/>
      <c r="AP64" s="26"/>
      <c r="AQ64" s="140">
        <v>0.4</v>
      </c>
      <c r="AR64" s="27" t="e">
        <f>#REF!</f>
        <v>#REF!</v>
      </c>
      <c r="AS64" s="26" t="e">
        <f t="shared" si="45"/>
        <v>#REF!</v>
      </c>
      <c r="AT64" s="77">
        <v>1</v>
      </c>
      <c r="AU64" s="52">
        <v>7000</v>
      </c>
      <c r="AV64" s="89">
        <f t="shared" si="46"/>
        <v>0</v>
      </c>
      <c r="AW64" s="794"/>
      <c r="AX64" s="22"/>
      <c r="AY64" s="5" t="e">
        <f t="shared" si="44"/>
        <v>#REF!</v>
      </c>
    </row>
    <row r="65" spans="1:55" ht="15" hidden="1" customHeight="1" outlineLevel="2">
      <c r="A65" s="746"/>
      <c r="B65" s="748"/>
      <c r="C65" s="299" t="s">
        <v>24</v>
      </c>
      <c r="D65" s="299"/>
      <c r="E65" s="299"/>
      <c r="F65" s="299"/>
      <c r="G65" s="249" t="e">
        <f>#REF!</f>
        <v>#REF!</v>
      </c>
      <c r="H65" s="299" t="e">
        <f>#REF!/G65</f>
        <v>#REF!</v>
      </c>
      <c r="I65" s="249">
        <v>1</v>
      </c>
      <c r="J65" s="252">
        <v>7000</v>
      </c>
      <c r="K65" s="280">
        <f t="shared" si="36"/>
        <v>0</v>
      </c>
      <c r="L65" s="800"/>
      <c r="M65" s="269"/>
      <c r="Q65" s="26" t="s">
        <v>24</v>
      </c>
      <c r="R65" s="26"/>
      <c r="S65" s="26"/>
      <c r="T65" s="140">
        <v>0.4</v>
      </c>
      <c r="U65" s="27" t="e">
        <f>#REF!</f>
        <v>#REF!</v>
      </c>
      <c r="V65" s="87" t="e">
        <f t="shared" si="37"/>
        <v>#REF!</v>
      </c>
      <c r="W65" s="77">
        <v>1</v>
      </c>
      <c r="X65" s="52">
        <v>7000</v>
      </c>
      <c r="Y65" s="89">
        <f t="shared" si="38"/>
        <v>0</v>
      </c>
      <c r="AA65" s="88">
        <v>1</v>
      </c>
      <c r="AB65" s="26" t="s">
        <v>24</v>
      </c>
      <c r="AC65" s="26"/>
      <c r="AD65" s="26"/>
      <c r="AE65" s="140">
        <v>0.4</v>
      </c>
      <c r="AF65" s="27" t="e">
        <f>#REF!</f>
        <v>#REF!</v>
      </c>
      <c r="AG65" s="26" t="e">
        <f t="shared" si="39"/>
        <v>#REF!</v>
      </c>
      <c r="AH65" s="77">
        <v>1</v>
      </c>
      <c r="AI65" s="52">
        <v>7000</v>
      </c>
      <c r="AJ65" s="89">
        <f t="shared" si="40"/>
        <v>0</v>
      </c>
      <c r="AK65" s="794"/>
      <c r="AL65" s="118"/>
      <c r="AM65" s="88">
        <v>1</v>
      </c>
      <c r="AN65" s="26" t="s">
        <v>24</v>
      </c>
      <c r="AO65" s="26"/>
      <c r="AP65" s="26"/>
      <c r="AQ65" s="140">
        <v>0.4</v>
      </c>
      <c r="AR65" s="27" t="e">
        <f>#REF!</f>
        <v>#REF!</v>
      </c>
      <c r="AS65" s="26" t="e">
        <f t="shared" si="45"/>
        <v>#REF!</v>
      </c>
      <c r="AT65" s="77">
        <v>1</v>
      </c>
      <c r="AU65" s="52">
        <v>7000</v>
      </c>
      <c r="AV65" s="89">
        <f t="shared" si="46"/>
        <v>0</v>
      </c>
      <c r="AW65" s="794"/>
      <c r="AX65" s="22"/>
      <c r="AY65" s="5" t="e">
        <f t="shared" si="44"/>
        <v>#REF!</v>
      </c>
    </row>
    <row r="66" spans="1:55" ht="15" hidden="1" customHeight="1" outlineLevel="2">
      <c r="A66" s="746"/>
      <c r="B66" s="748"/>
      <c r="C66" s="299"/>
      <c r="D66" s="299"/>
      <c r="E66" s="299"/>
      <c r="F66" s="299"/>
      <c r="G66" s="300"/>
      <c r="H66" s="299" t="e">
        <f>#REF!/G66</f>
        <v>#REF!</v>
      </c>
      <c r="I66" s="249"/>
      <c r="J66" s="252"/>
      <c r="K66" s="280">
        <f t="shared" si="36"/>
        <v>0</v>
      </c>
      <c r="L66" s="800"/>
      <c r="M66" s="269"/>
      <c r="Q66" s="26"/>
      <c r="R66" s="26"/>
      <c r="S66" s="26"/>
      <c r="T66" s="140"/>
      <c r="U66" s="43"/>
      <c r="V66" s="87" t="e">
        <f t="shared" si="37"/>
        <v>#DIV/0!</v>
      </c>
      <c r="W66" s="77"/>
      <c r="X66" s="52"/>
      <c r="Y66" s="89">
        <f t="shared" si="38"/>
        <v>0</v>
      </c>
      <c r="AA66" s="88"/>
      <c r="AB66" s="26"/>
      <c r="AC66" s="26"/>
      <c r="AD66" s="26"/>
      <c r="AE66" s="140"/>
      <c r="AF66" s="43"/>
      <c r="AG66" s="26" t="e">
        <f t="shared" si="39"/>
        <v>#DIV/0!</v>
      </c>
      <c r="AH66" s="77"/>
      <c r="AI66" s="52"/>
      <c r="AJ66" s="89">
        <f t="shared" si="40"/>
        <v>0</v>
      </c>
      <c r="AK66" s="794"/>
      <c r="AL66" s="118"/>
      <c r="AM66" s="88"/>
      <c r="AN66" s="26"/>
      <c r="AO66" s="26"/>
      <c r="AP66" s="26"/>
      <c r="AQ66" s="140"/>
      <c r="AR66" s="43"/>
      <c r="AS66" s="26" t="e">
        <f t="shared" si="45"/>
        <v>#DIV/0!</v>
      </c>
      <c r="AT66" s="77"/>
      <c r="AU66" s="52"/>
      <c r="AV66" s="89">
        <f t="shared" si="46"/>
        <v>0</v>
      </c>
      <c r="AW66" s="794"/>
      <c r="AX66" s="22"/>
      <c r="AY66" s="5">
        <f t="shared" si="44"/>
        <v>0</v>
      </c>
    </row>
    <row r="67" spans="1:55" ht="15" hidden="1" customHeight="1" outlineLevel="2" thickBot="1">
      <c r="A67" s="746"/>
      <c r="B67" s="748"/>
      <c r="C67" s="786"/>
      <c r="D67" s="786"/>
      <c r="E67" s="786"/>
      <c r="F67" s="786"/>
      <c r="G67" s="786"/>
      <c r="H67" s="786"/>
      <c r="I67" s="786"/>
      <c r="J67" s="786"/>
      <c r="K67" s="247">
        <f>SUM(K54:K56)</f>
        <v>0</v>
      </c>
      <c r="L67" s="800"/>
      <c r="M67" s="270"/>
      <c r="Q67" s="68"/>
      <c r="R67" s="68"/>
      <c r="S67" s="68"/>
      <c r="T67" s="68"/>
      <c r="U67" s="68"/>
      <c r="V67" s="125"/>
      <c r="W67" s="68"/>
      <c r="X67" s="68"/>
      <c r="Y67" s="92">
        <f>SUM(Y54:Y56)</f>
        <v>836.91273825503356</v>
      </c>
      <c r="AA67" s="787" t="s">
        <v>44</v>
      </c>
      <c r="AB67" s="788"/>
      <c r="AC67" s="788"/>
      <c r="AD67" s="788"/>
      <c r="AE67" s="788"/>
      <c r="AF67" s="788"/>
      <c r="AG67" s="788"/>
      <c r="AH67" s="788"/>
      <c r="AI67" s="789"/>
      <c r="AJ67" s="92">
        <f>SUM(AJ54:AJ56)</f>
        <v>836.91273825503356</v>
      </c>
      <c r="AK67" s="795"/>
      <c r="AL67" s="124"/>
      <c r="AM67" s="787" t="s">
        <v>44</v>
      </c>
      <c r="AN67" s="788"/>
      <c r="AO67" s="788"/>
      <c r="AP67" s="788"/>
      <c r="AQ67" s="788"/>
      <c r="AR67" s="788"/>
      <c r="AS67" s="788"/>
      <c r="AT67" s="788"/>
      <c r="AU67" s="789"/>
      <c r="AV67" s="92">
        <f>SUM(AV54:AV56)</f>
        <v>0</v>
      </c>
      <c r="AW67" s="795"/>
      <c r="AX67" s="22"/>
      <c r="AY67" s="38">
        <f>SUM(AY54:AY56)</f>
        <v>84528.186563758383</v>
      </c>
    </row>
    <row r="68" spans="1:55" ht="15.75" hidden="1" customHeight="1" thickBot="1">
      <c r="A68" s="746"/>
      <c r="B68" s="748"/>
      <c r="C68" s="796"/>
      <c r="D68" s="796"/>
      <c r="E68" s="796"/>
      <c r="F68" s="796"/>
      <c r="G68" s="796"/>
      <c r="H68" s="796"/>
      <c r="I68" s="796"/>
      <c r="J68" s="796"/>
      <c r="K68" s="247">
        <f>K67+K51+K19</f>
        <v>0</v>
      </c>
      <c r="L68" s="249"/>
      <c r="M68" s="143"/>
      <c r="Q68" s="68"/>
      <c r="R68" s="68"/>
      <c r="S68" s="68"/>
      <c r="T68" s="68"/>
      <c r="U68" s="68"/>
      <c r="V68" s="125"/>
      <c r="W68" s="68"/>
      <c r="X68" s="68"/>
      <c r="Y68" s="92">
        <f>Y67+Y51+Y19</f>
        <v>57198.788134228191</v>
      </c>
      <c r="AA68" s="797" t="s">
        <v>108</v>
      </c>
      <c r="AB68" s="798"/>
      <c r="AC68" s="798"/>
      <c r="AD68" s="798"/>
      <c r="AE68" s="798"/>
      <c r="AF68" s="798"/>
      <c r="AG68" s="798"/>
      <c r="AH68" s="798"/>
      <c r="AI68" s="799"/>
      <c r="AJ68" s="92">
        <f>AJ67+AJ51+AJ19</f>
        <v>57198.788134228198</v>
      </c>
      <c r="AK68" s="77"/>
      <c r="AL68" s="143"/>
      <c r="AM68" s="797" t="s">
        <v>108</v>
      </c>
      <c r="AN68" s="798"/>
      <c r="AO68" s="798"/>
      <c r="AP68" s="798"/>
      <c r="AQ68" s="798"/>
      <c r="AR68" s="798"/>
      <c r="AS68" s="798"/>
      <c r="AT68" s="798"/>
      <c r="AU68" s="799"/>
      <c r="AV68" s="92">
        <f>AV67+AV51+AV19</f>
        <v>20578.851638255033</v>
      </c>
      <c r="AW68" s="77"/>
      <c r="AX68" s="23"/>
      <c r="AY68" s="144">
        <f>AY67+AY51+AY19</f>
        <v>8440567.7816375829</v>
      </c>
      <c r="AZ68" s="5" t="s">
        <v>225</v>
      </c>
    </row>
    <row r="69" spans="1:55" ht="384.75" hidden="1" customHeight="1">
      <c r="A69" s="746"/>
      <c r="B69" s="748"/>
      <c r="C69" s="301" t="s">
        <v>10</v>
      </c>
      <c r="D69" s="301"/>
      <c r="E69" s="301" t="s">
        <v>28</v>
      </c>
      <c r="F69" s="301" t="s">
        <v>20</v>
      </c>
      <c r="G69" s="302" t="s">
        <v>96</v>
      </c>
      <c r="H69" s="301" t="s">
        <v>55</v>
      </c>
      <c r="I69" s="301" t="s">
        <v>75</v>
      </c>
      <c r="J69" s="301" t="s">
        <v>23</v>
      </c>
      <c r="K69" s="301" t="s">
        <v>11</v>
      </c>
      <c r="L69" s="301" t="s">
        <v>45</v>
      </c>
      <c r="M69" s="273"/>
      <c r="Q69" s="146" t="s">
        <v>10</v>
      </c>
      <c r="R69" s="146" t="s">
        <v>28</v>
      </c>
      <c r="S69" s="146" t="s">
        <v>20</v>
      </c>
      <c r="T69" s="108" t="s">
        <v>2</v>
      </c>
      <c r="U69" s="147" t="s">
        <v>96</v>
      </c>
      <c r="V69" s="148" t="s">
        <v>55</v>
      </c>
      <c r="W69" s="146" t="s">
        <v>75</v>
      </c>
      <c r="X69" s="146" t="s">
        <v>23</v>
      </c>
      <c r="Y69" s="146" t="s">
        <v>11</v>
      </c>
      <c r="AA69" s="146" t="s">
        <v>9</v>
      </c>
      <c r="AB69" s="146" t="s">
        <v>10</v>
      </c>
      <c r="AC69" s="146" t="s">
        <v>28</v>
      </c>
      <c r="AD69" s="146" t="s">
        <v>20</v>
      </c>
      <c r="AE69" s="108" t="s">
        <v>2</v>
      </c>
      <c r="AF69" s="147" t="s">
        <v>96</v>
      </c>
      <c r="AG69" s="146" t="s">
        <v>55</v>
      </c>
      <c r="AH69" s="146" t="s">
        <v>75</v>
      </c>
      <c r="AI69" s="146" t="s">
        <v>23</v>
      </c>
      <c r="AJ69" s="146" t="s">
        <v>11</v>
      </c>
      <c r="AK69" s="146" t="s">
        <v>45</v>
      </c>
      <c r="AL69" s="145"/>
      <c r="AM69" s="146" t="s">
        <v>9</v>
      </c>
      <c r="AN69" s="146" t="s">
        <v>10</v>
      </c>
      <c r="AO69" s="146" t="s">
        <v>28</v>
      </c>
      <c r="AP69" s="146" t="s">
        <v>20</v>
      </c>
      <c r="AQ69" s="108" t="s">
        <v>2</v>
      </c>
      <c r="AR69" s="147" t="s">
        <v>96</v>
      </c>
      <c r="AS69" s="146" t="s">
        <v>55</v>
      </c>
      <c r="AT69" s="146" t="s">
        <v>75</v>
      </c>
      <c r="AU69" s="146" t="s">
        <v>23</v>
      </c>
      <c r="AV69" s="146" t="s">
        <v>11</v>
      </c>
      <c r="AW69" s="146" t="s">
        <v>45</v>
      </c>
      <c r="AZ69" s="24">
        <f>AY68+BA51+BA19</f>
        <v>11506816.675737582</v>
      </c>
    </row>
    <row r="70" spans="1:55" ht="15" hidden="1" customHeight="1">
      <c r="A70" s="746"/>
      <c r="B70" s="748"/>
      <c r="C70" s="303">
        <v>1</v>
      </c>
      <c r="D70" s="303"/>
      <c r="E70" s="303">
        <v>2</v>
      </c>
      <c r="F70" s="303">
        <v>3</v>
      </c>
      <c r="G70" s="304">
        <v>5</v>
      </c>
      <c r="H70" s="303" t="s">
        <v>64</v>
      </c>
      <c r="I70" s="303">
        <v>7</v>
      </c>
      <c r="J70" s="303">
        <v>8</v>
      </c>
      <c r="K70" s="303" t="s">
        <v>111</v>
      </c>
      <c r="L70" s="301"/>
      <c r="M70" s="273"/>
      <c r="Q70" s="149">
        <v>1</v>
      </c>
      <c r="R70" s="149">
        <v>2</v>
      </c>
      <c r="S70" s="149">
        <v>3</v>
      </c>
      <c r="T70" s="150">
        <v>4</v>
      </c>
      <c r="U70" s="150">
        <v>5</v>
      </c>
      <c r="V70" s="151" t="s">
        <v>64</v>
      </c>
      <c r="W70" s="149">
        <v>7</v>
      </c>
      <c r="X70" s="149">
        <v>8</v>
      </c>
      <c r="Y70" s="149" t="s">
        <v>111</v>
      </c>
      <c r="AA70" s="149">
        <v>1</v>
      </c>
      <c r="AB70" s="149">
        <v>1</v>
      </c>
      <c r="AC70" s="149">
        <v>2</v>
      </c>
      <c r="AD70" s="149">
        <v>3</v>
      </c>
      <c r="AE70" s="150">
        <v>4</v>
      </c>
      <c r="AF70" s="150">
        <v>5</v>
      </c>
      <c r="AG70" s="149" t="s">
        <v>64</v>
      </c>
      <c r="AH70" s="149">
        <v>7</v>
      </c>
      <c r="AI70" s="149">
        <v>8</v>
      </c>
      <c r="AJ70" s="149" t="s">
        <v>111</v>
      </c>
      <c r="AK70" s="146"/>
      <c r="AL70" s="145"/>
      <c r="AM70" s="149">
        <v>1</v>
      </c>
      <c r="AN70" s="149">
        <v>1</v>
      </c>
      <c r="AO70" s="149">
        <v>2</v>
      </c>
      <c r="AP70" s="149">
        <v>3</v>
      </c>
      <c r="AQ70" s="150">
        <v>4</v>
      </c>
      <c r="AR70" s="150">
        <v>5</v>
      </c>
      <c r="AS70" s="149" t="s">
        <v>64</v>
      </c>
      <c r="AT70" s="149">
        <v>7</v>
      </c>
      <c r="AU70" s="149">
        <v>8</v>
      </c>
      <c r="AV70" s="149" t="s">
        <v>111</v>
      </c>
      <c r="AW70" s="146"/>
    </row>
    <row r="71" spans="1:55" ht="15" customHeight="1">
      <c r="A71" s="746"/>
      <c r="B71" s="748"/>
      <c r="C71" s="809" t="s">
        <v>12</v>
      </c>
      <c r="D71" s="809"/>
      <c r="E71" s="809"/>
      <c r="F71" s="809"/>
      <c r="G71" s="809"/>
      <c r="H71" s="809"/>
      <c r="I71" s="809"/>
      <c r="J71" s="809"/>
      <c r="K71" s="809"/>
      <c r="L71" s="809"/>
      <c r="M71" s="152"/>
      <c r="Q71" s="68"/>
      <c r="R71" s="68"/>
      <c r="S71" s="68"/>
      <c r="T71" s="68"/>
      <c r="U71" s="68"/>
      <c r="V71" s="125"/>
      <c r="W71" s="68"/>
      <c r="X71" s="68"/>
      <c r="Y71" s="68"/>
      <c r="AA71" s="806" t="s">
        <v>12</v>
      </c>
      <c r="AB71" s="807"/>
      <c r="AC71" s="807"/>
      <c r="AD71" s="807"/>
      <c r="AE71" s="807"/>
      <c r="AF71" s="807"/>
      <c r="AG71" s="807"/>
      <c r="AH71" s="807"/>
      <c r="AI71" s="807"/>
      <c r="AJ71" s="807"/>
      <c r="AK71" s="808"/>
      <c r="AL71" s="152"/>
      <c r="AM71" s="806" t="s">
        <v>12</v>
      </c>
      <c r="AN71" s="807"/>
      <c r="AO71" s="807"/>
      <c r="AP71" s="807"/>
      <c r="AQ71" s="807"/>
      <c r="AR71" s="807"/>
      <c r="AS71" s="807"/>
      <c r="AT71" s="807"/>
      <c r="AU71" s="807"/>
      <c r="AV71" s="807"/>
      <c r="AW71" s="808"/>
      <c r="BC71" s="24"/>
    </row>
    <row r="72" spans="1:55" ht="15.75" customHeight="1">
      <c r="A72" s="746"/>
      <c r="B72" s="748"/>
      <c r="C72" s="279" t="s">
        <v>16</v>
      </c>
      <c r="D72" s="305" t="s">
        <v>226</v>
      </c>
      <c r="E72" s="801" t="e">
        <f>'расчет по услугам'!#REF!</f>
        <v>#REF!</v>
      </c>
      <c r="F72" s="801"/>
      <c r="G72" s="306">
        <v>1</v>
      </c>
      <c r="H72" s="278" t="e">
        <f>E72*G72/#REF!</f>
        <v>#REF!</v>
      </c>
      <c r="I72" s="225">
        <v>6.2127809999999997</v>
      </c>
      <c r="J72" s="307"/>
      <c r="K72" s="280" t="e">
        <f>I72*H72</f>
        <v>#REF!</v>
      </c>
      <c r="L72" s="249"/>
      <c r="M72" s="274"/>
      <c r="Q72" s="154" t="s">
        <v>16</v>
      </c>
      <c r="R72" s="155" t="s">
        <v>47</v>
      </c>
      <c r="S72" s="156">
        <f>59460*0.5/149*T72</f>
        <v>9577.4496644295305</v>
      </c>
      <c r="T72" s="157">
        <v>48</v>
      </c>
      <c r="U72" s="158">
        <v>1</v>
      </c>
      <c r="V72" s="159">
        <f>S72*U72/T72</f>
        <v>199.53020134228188</v>
      </c>
      <c r="W72" s="160">
        <v>6.2127809999999997</v>
      </c>
      <c r="X72" s="30"/>
      <c r="Y72" s="46">
        <f>W72*V72</f>
        <v>1239.6374438255034</v>
      </c>
      <c r="AA72" s="41">
        <v>1</v>
      </c>
      <c r="AB72" s="154" t="s">
        <v>16</v>
      </c>
      <c r="AC72" s="155" t="s">
        <v>47</v>
      </c>
      <c r="AD72" s="156">
        <f>59460*0.5/149*AE72</f>
        <v>20152.550335570471</v>
      </c>
      <c r="AE72" s="157">
        <v>101</v>
      </c>
      <c r="AF72" s="158">
        <v>1</v>
      </c>
      <c r="AG72" s="161">
        <f>AD72*AF72/AE72</f>
        <v>199.53020134228188</v>
      </c>
      <c r="AH72" s="160">
        <v>6.2127809999999997</v>
      </c>
      <c r="AI72" s="30"/>
      <c r="AJ72" s="46">
        <f>AH72*AG72</f>
        <v>1239.6374438255034</v>
      </c>
      <c r="AK72" s="27"/>
      <c r="AL72" s="153"/>
      <c r="AM72" s="41">
        <v>1</v>
      </c>
      <c r="AN72" s="154" t="s">
        <v>16</v>
      </c>
      <c r="AO72" s="155" t="s">
        <v>47</v>
      </c>
      <c r="AP72" s="156">
        <f>59460*0.5</f>
        <v>29730</v>
      </c>
      <c r="AQ72" s="157">
        <v>149</v>
      </c>
      <c r="AR72" s="158">
        <v>1</v>
      </c>
      <c r="AS72" s="161">
        <f>AP72*AR72/AQ72</f>
        <v>199.53020134228188</v>
      </c>
      <c r="AT72" s="160">
        <v>6.2127809999999997</v>
      </c>
      <c r="AU72" s="30"/>
      <c r="AV72" s="46">
        <f>AT72*AS72</f>
        <v>1239.6374438255034</v>
      </c>
      <c r="AW72" s="27"/>
      <c r="AY72" s="5">
        <f>AJ72*AE72</f>
        <v>125203.38182637584</v>
      </c>
      <c r="AZ72" s="5">
        <v>369412</v>
      </c>
      <c r="BA72" s="5">
        <f>AP72*AT72</f>
        <v>184705.97912999999</v>
      </c>
      <c r="BB72" s="5">
        <f>AZ72-AY72-BA72</f>
        <v>59502.639043624164</v>
      </c>
    </row>
    <row r="73" spans="1:55" ht="15.75" customHeight="1">
      <c r="A73" s="746"/>
      <c r="B73" s="748"/>
      <c r="C73" s="279" t="s">
        <v>13</v>
      </c>
      <c r="D73" s="305" t="s">
        <v>227</v>
      </c>
      <c r="E73" s="801" t="e">
        <f>'расчет по услугам'!#REF!</f>
        <v>#REF!</v>
      </c>
      <c r="F73" s="801"/>
      <c r="G73" s="306">
        <v>1</v>
      </c>
      <c r="H73" s="278" t="e">
        <f>E73*G73/#REF!</f>
        <v>#REF!</v>
      </c>
      <c r="I73" s="225">
        <v>2760.4580599999999</v>
      </c>
      <c r="J73" s="307"/>
      <c r="K73" s="280" t="e">
        <f>I73*H73</f>
        <v>#REF!</v>
      </c>
      <c r="L73" s="249"/>
      <c r="M73" s="274"/>
      <c r="Q73" s="154" t="s">
        <v>13</v>
      </c>
      <c r="R73" s="155" t="s">
        <v>227</v>
      </c>
      <c r="S73" s="156">
        <f>(361)*0.5/149*T73</f>
        <v>58.147651006711413</v>
      </c>
      <c r="T73" s="157">
        <f>T72</f>
        <v>48</v>
      </c>
      <c r="U73" s="158">
        <v>1</v>
      </c>
      <c r="V73" s="159">
        <f>S73*U73/T73</f>
        <v>1.2114093959731544</v>
      </c>
      <c r="W73" s="160">
        <v>2760.4580599999999</v>
      </c>
      <c r="X73" s="30"/>
      <c r="Y73" s="46">
        <f>W73*V73</f>
        <v>3344.0448310738257</v>
      </c>
      <c r="AA73" s="41">
        <v>2</v>
      </c>
      <c r="AB73" s="154" t="s">
        <v>13</v>
      </c>
      <c r="AC73" s="155" t="s">
        <v>227</v>
      </c>
      <c r="AD73" s="156">
        <f>(361)*0.5/149*AE73</f>
        <v>122.3523489932886</v>
      </c>
      <c r="AE73" s="157">
        <f>AE72</f>
        <v>101</v>
      </c>
      <c r="AF73" s="158">
        <v>1</v>
      </c>
      <c r="AG73" s="161">
        <f>AD73*AF73/AE73</f>
        <v>1.2114093959731544</v>
      </c>
      <c r="AH73" s="160">
        <v>2760.4580599999999</v>
      </c>
      <c r="AI73" s="30"/>
      <c r="AJ73" s="46">
        <f>AH73*AG73</f>
        <v>3344.0448310738257</v>
      </c>
      <c r="AK73" s="27"/>
      <c r="AL73" s="153"/>
      <c r="AM73" s="41">
        <v>2</v>
      </c>
      <c r="AN73" s="154" t="s">
        <v>13</v>
      </c>
      <c r="AO73" s="155" t="s">
        <v>227</v>
      </c>
      <c r="AP73" s="156">
        <f>(361)*0.5</f>
        <v>180.5</v>
      </c>
      <c r="AQ73" s="157">
        <f>AQ72</f>
        <v>149</v>
      </c>
      <c r="AR73" s="158">
        <v>1</v>
      </c>
      <c r="AS73" s="161">
        <f>AP73*AR73/AQ73</f>
        <v>1.2114093959731544</v>
      </c>
      <c r="AT73" s="160">
        <v>2760.4580599999999</v>
      </c>
      <c r="AU73" s="30"/>
      <c r="AV73" s="46">
        <f>AT73*AS73</f>
        <v>3344.0448310738257</v>
      </c>
      <c r="AW73" s="27"/>
      <c r="AY73" s="5">
        <f>AJ73*AE73</f>
        <v>337748.52793845639</v>
      </c>
      <c r="AZ73" s="5">
        <v>996525.36</v>
      </c>
      <c r="BA73" s="5">
        <f t="shared" ref="BA73:BA75" si="47">AT73*AP73</f>
        <v>498262.67982999998</v>
      </c>
      <c r="BB73" s="5">
        <f t="shared" ref="BB73" si="48">AZ73-AY73-BA73</f>
        <v>160514.15223154362</v>
      </c>
    </row>
    <row r="74" spans="1:55" ht="15.75" customHeight="1">
      <c r="A74" s="746"/>
      <c r="B74" s="748"/>
      <c r="C74" s="279" t="s">
        <v>14</v>
      </c>
      <c r="D74" s="305" t="s">
        <v>228</v>
      </c>
      <c r="E74" s="801" t="e">
        <f>'расчет по услугам'!#REF!</f>
        <v>#REF!</v>
      </c>
      <c r="F74" s="801"/>
      <c r="G74" s="306">
        <v>1</v>
      </c>
      <c r="H74" s="278" t="e">
        <f>E74*G74/#REF!</f>
        <v>#REF!</v>
      </c>
      <c r="I74" s="225">
        <v>48.984999999999999</v>
      </c>
      <c r="J74" s="307"/>
      <c r="K74" s="280" t="e">
        <f>I74*H74</f>
        <v>#REF!</v>
      </c>
      <c r="L74" s="249"/>
      <c r="M74" s="274"/>
      <c r="Q74" s="154" t="s">
        <v>14</v>
      </c>
      <c r="R74" s="155" t="s">
        <v>46</v>
      </c>
      <c r="S74" s="156">
        <f>4282*0.5/149*T74</f>
        <v>689.71812080536915</v>
      </c>
      <c r="T74" s="157">
        <f t="shared" ref="T74:T75" si="49">T73</f>
        <v>48</v>
      </c>
      <c r="U74" s="158">
        <v>1</v>
      </c>
      <c r="V74" s="159">
        <f>S74*U74/T74</f>
        <v>14.369127516778525</v>
      </c>
      <c r="W74" s="160">
        <v>48.984999999999999</v>
      </c>
      <c r="X74" s="30"/>
      <c r="Y74" s="46">
        <f>W74*V74</f>
        <v>703.87171140939597</v>
      </c>
      <c r="AA74" s="41">
        <v>3</v>
      </c>
      <c r="AB74" s="154" t="s">
        <v>14</v>
      </c>
      <c r="AC74" s="155" t="s">
        <v>46</v>
      </c>
      <c r="AD74" s="156">
        <f>4282*0.5/149*AE74</f>
        <v>1451.2818791946308</v>
      </c>
      <c r="AE74" s="157">
        <f t="shared" ref="AE74:AE75" si="50">AE73</f>
        <v>101</v>
      </c>
      <c r="AF74" s="158">
        <v>1</v>
      </c>
      <c r="AG74" s="161">
        <f>AD74*AF74/AE74</f>
        <v>14.369127516778523</v>
      </c>
      <c r="AH74" s="160">
        <v>48.984999999999999</v>
      </c>
      <c r="AI74" s="30"/>
      <c r="AJ74" s="46">
        <f>AH74*AG74</f>
        <v>703.87171140939597</v>
      </c>
      <c r="AK74" s="27"/>
      <c r="AL74" s="153"/>
      <c r="AM74" s="41">
        <v>3</v>
      </c>
      <c r="AN74" s="154" t="s">
        <v>14</v>
      </c>
      <c r="AO74" s="155" t="s">
        <v>46</v>
      </c>
      <c r="AP74" s="156">
        <f>4282*0.5</f>
        <v>2141</v>
      </c>
      <c r="AQ74" s="157">
        <f t="shared" ref="AQ74:AQ75" si="51">AQ73</f>
        <v>149</v>
      </c>
      <c r="AR74" s="158">
        <v>1</v>
      </c>
      <c r="AS74" s="161">
        <f>AP74*AR74/AQ74</f>
        <v>14.369127516778523</v>
      </c>
      <c r="AT74" s="160">
        <v>48.984999999999999</v>
      </c>
      <c r="AU74" s="30"/>
      <c r="AV74" s="46">
        <f>AT74*AS74</f>
        <v>703.87171140939597</v>
      </c>
      <c r="AW74" s="27"/>
      <c r="AY74" s="5">
        <f>AJ74*AE74</f>
        <v>71091.042852348997</v>
      </c>
      <c r="BA74" s="5">
        <f t="shared" si="47"/>
        <v>104876.88499999999</v>
      </c>
    </row>
    <row r="75" spans="1:55" ht="16.5" customHeight="1" thickBot="1">
      <c r="A75" s="746"/>
      <c r="B75" s="748"/>
      <c r="C75" s="279" t="s">
        <v>15</v>
      </c>
      <c r="D75" s="305" t="s">
        <v>228</v>
      </c>
      <c r="E75" s="801" t="e">
        <f>'расчет по услугам'!#REF!</f>
        <v>#REF!</v>
      </c>
      <c r="F75" s="801"/>
      <c r="G75" s="306">
        <v>1</v>
      </c>
      <c r="H75" s="278" t="e">
        <f>E75*G75/#REF!</f>
        <v>#REF!</v>
      </c>
      <c r="I75" s="225">
        <v>46.695</v>
      </c>
      <c r="J75" s="307"/>
      <c r="K75" s="280" t="e">
        <f>I75*H75</f>
        <v>#REF!</v>
      </c>
      <c r="L75" s="249"/>
      <c r="M75" s="274"/>
      <c r="Q75" s="154" t="s">
        <v>15</v>
      </c>
      <c r="R75" s="155" t="s">
        <v>46</v>
      </c>
      <c r="S75" s="156">
        <f>4282*0.5/149*T75</f>
        <v>689.71812080536915</v>
      </c>
      <c r="T75" s="157">
        <f t="shared" si="49"/>
        <v>48</v>
      </c>
      <c r="U75" s="158">
        <v>1</v>
      </c>
      <c r="V75" s="159">
        <f t="shared" ref="V75" si="52">S75*U75/T75</f>
        <v>14.369127516778525</v>
      </c>
      <c r="W75" s="160">
        <v>46.695</v>
      </c>
      <c r="X75" s="30"/>
      <c r="Y75" s="46">
        <f>W75*V75</f>
        <v>670.96640939597319</v>
      </c>
      <c r="AA75" s="41">
        <v>4</v>
      </c>
      <c r="AB75" s="154" t="s">
        <v>15</v>
      </c>
      <c r="AC75" s="155" t="s">
        <v>46</v>
      </c>
      <c r="AD75" s="156">
        <f>4282*0.5/149*AE75</f>
        <v>1451.2818791946308</v>
      </c>
      <c r="AE75" s="157">
        <f t="shared" si="50"/>
        <v>101</v>
      </c>
      <c r="AF75" s="158">
        <v>1</v>
      </c>
      <c r="AG75" s="161">
        <f t="shared" ref="AG75" si="53">AD75*AF75/AE75</f>
        <v>14.369127516778523</v>
      </c>
      <c r="AH75" s="160">
        <v>46.695</v>
      </c>
      <c r="AI75" s="30"/>
      <c r="AJ75" s="46">
        <f>AH75*AG75</f>
        <v>670.96640939597307</v>
      </c>
      <c r="AK75" s="27"/>
      <c r="AL75" s="153"/>
      <c r="AM75" s="41">
        <v>4</v>
      </c>
      <c r="AN75" s="154" t="s">
        <v>15</v>
      </c>
      <c r="AO75" s="155" t="s">
        <v>46</v>
      </c>
      <c r="AP75" s="156">
        <f>4282*0.5</f>
        <v>2141</v>
      </c>
      <c r="AQ75" s="157">
        <f t="shared" si="51"/>
        <v>149</v>
      </c>
      <c r="AR75" s="158">
        <v>1</v>
      </c>
      <c r="AS75" s="161">
        <f t="shared" ref="AS75" si="54">AP75*AR75/AQ75</f>
        <v>14.369127516778523</v>
      </c>
      <c r="AT75" s="160">
        <v>46.695</v>
      </c>
      <c r="AU75" s="30"/>
      <c r="AV75" s="46">
        <f>AT75*AS75</f>
        <v>670.96640939597307</v>
      </c>
      <c r="AW75" s="27"/>
      <c r="AY75" s="5">
        <f>AJ75*AE75</f>
        <v>67767.607348993275</v>
      </c>
      <c r="AZ75" s="5">
        <v>409702.96</v>
      </c>
      <c r="BA75" s="5">
        <f t="shared" si="47"/>
        <v>99973.994999999995</v>
      </c>
      <c r="BB75" s="5">
        <f>AZ75-AY74-AY75-BA74-BA75</f>
        <v>65993.429798657773</v>
      </c>
    </row>
    <row r="76" spans="1:55" ht="15.75" hidden="1" customHeight="1" thickBot="1">
      <c r="A76" s="746"/>
      <c r="B76" s="748"/>
      <c r="C76" s="802"/>
      <c r="D76" s="802"/>
      <c r="E76" s="802"/>
      <c r="F76" s="802"/>
      <c r="G76" s="802"/>
      <c r="H76" s="802"/>
      <c r="I76" s="802"/>
      <c r="J76" s="802"/>
      <c r="K76" s="308" t="e">
        <f>SUM(K72:K75)</f>
        <v>#REF!</v>
      </c>
      <c r="L76" s="249"/>
      <c r="M76" s="275"/>
      <c r="Q76" s="68"/>
      <c r="R76" s="68"/>
      <c r="S76" s="68"/>
      <c r="T76" s="68"/>
      <c r="U76" s="68"/>
      <c r="V76" s="68"/>
      <c r="W76" s="68"/>
      <c r="X76" s="68"/>
      <c r="Y76" s="163">
        <f>SUM(Y72:Y75)</f>
        <v>5958.5203957046979</v>
      </c>
      <c r="AA76" s="803" t="s">
        <v>27</v>
      </c>
      <c r="AB76" s="804"/>
      <c r="AC76" s="804"/>
      <c r="AD76" s="804"/>
      <c r="AE76" s="804"/>
      <c r="AF76" s="804"/>
      <c r="AG76" s="804"/>
      <c r="AH76" s="804"/>
      <c r="AI76" s="805"/>
      <c r="AJ76" s="163">
        <f>SUM(AJ72:AJ75)</f>
        <v>5958.5203957046979</v>
      </c>
      <c r="AK76" s="27"/>
      <c r="AL76" s="162"/>
      <c r="AM76" s="803" t="s">
        <v>27</v>
      </c>
      <c r="AN76" s="804"/>
      <c r="AO76" s="804"/>
      <c r="AP76" s="804"/>
      <c r="AQ76" s="804"/>
      <c r="AR76" s="804"/>
      <c r="AS76" s="804"/>
      <c r="AT76" s="804"/>
      <c r="AU76" s="805"/>
      <c r="AV76" s="163">
        <f>SUM(AV72:AV75)</f>
        <v>5958.5203957046979</v>
      </c>
      <c r="AW76" s="27"/>
      <c r="AY76" s="164">
        <f>SUM(AY72:AY75)</f>
        <v>601810.55996617454</v>
      </c>
      <c r="AZ76" s="165">
        <f>2043459-267818.68</f>
        <v>1775640.32</v>
      </c>
      <c r="BA76" s="17">
        <f>SUM(BA72:BA75)</f>
        <v>887819.53895999992</v>
      </c>
    </row>
    <row r="77" spans="1:55" ht="36" customHeight="1" thickBot="1">
      <c r="A77" s="746"/>
      <c r="B77" s="748"/>
      <c r="C77" s="749" t="s">
        <v>229</v>
      </c>
      <c r="D77" s="749"/>
      <c r="E77" s="749"/>
      <c r="F77" s="749"/>
      <c r="G77" s="749"/>
      <c r="H77" s="749"/>
      <c r="I77" s="749"/>
      <c r="J77" s="749"/>
      <c r="K77" s="749"/>
      <c r="L77" s="749"/>
      <c r="M77" s="152"/>
      <c r="Q77" s="68"/>
      <c r="R77" s="68"/>
      <c r="S77" s="68"/>
      <c r="T77" s="68"/>
      <c r="U77" s="68"/>
      <c r="V77" s="68"/>
      <c r="W77" s="68"/>
      <c r="X77" s="68"/>
      <c r="Y77" s="68"/>
      <c r="AA77" s="806" t="s">
        <v>68</v>
      </c>
      <c r="AB77" s="807"/>
      <c r="AC77" s="807"/>
      <c r="AD77" s="807"/>
      <c r="AE77" s="807"/>
      <c r="AF77" s="807"/>
      <c r="AG77" s="807"/>
      <c r="AH77" s="807"/>
      <c r="AI77" s="807"/>
      <c r="AJ77" s="807"/>
      <c r="AK77" s="808"/>
      <c r="AL77" s="152"/>
      <c r="AM77" s="806" t="s">
        <v>68</v>
      </c>
      <c r="AN77" s="807"/>
      <c r="AO77" s="807"/>
      <c r="AP77" s="807"/>
      <c r="AQ77" s="807"/>
      <c r="AR77" s="807"/>
      <c r="AS77" s="807"/>
      <c r="AT77" s="807"/>
      <c r="AU77" s="807"/>
      <c r="AV77" s="807"/>
      <c r="AW77" s="808"/>
      <c r="AY77" s="17">
        <f>(AJ76+AV76)*149</f>
        <v>1775639.0779200001</v>
      </c>
      <c r="AZ77" s="17">
        <f>AZ76/2</f>
        <v>887820.16</v>
      </c>
      <c r="BA77" s="166">
        <f>AY77-AZ77</f>
        <v>887818.91792000004</v>
      </c>
      <c r="BC77" s="24">
        <f>AZ77-AY77</f>
        <v>-887818.91792000004</v>
      </c>
    </row>
    <row r="78" spans="1:55" ht="51.75">
      <c r="A78" s="746"/>
      <c r="B78" s="748"/>
      <c r="C78" s="235" t="e">
        <f>'расчет по услугам'!#REF!</f>
        <v>#REF!</v>
      </c>
      <c r="D78" s="224" t="s">
        <v>130</v>
      </c>
      <c r="E78" s="753" t="e">
        <f>'расчет по услугам'!#REF!</f>
        <v>#REF!</v>
      </c>
      <c r="F78" s="753"/>
      <c r="G78" s="306">
        <v>1</v>
      </c>
      <c r="H78" s="309" t="e">
        <f>F78*G78/#REF!</f>
        <v>#REF!</v>
      </c>
      <c r="I78" s="225">
        <v>81890</v>
      </c>
      <c r="J78" s="307"/>
      <c r="K78" s="280" t="e">
        <f>I78*H78</f>
        <v>#REF!</v>
      </c>
      <c r="L78" s="249"/>
      <c r="M78" s="274"/>
      <c r="Q78" s="167" t="s">
        <v>17</v>
      </c>
      <c r="R78" s="168" t="s">
        <v>53</v>
      </c>
      <c r="S78" s="169">
        <f t="shared" ref="S78:S85" si="55">1/2/149*T78</f>
        <v>0.16107382550335569</v>
      </c>
      <c r="T78" s="157">
        <v>48</v>
      </c>
      <c r="U78" s="158">
        <v>1</v>
      </c>
      <c r="V78" s="159">
        <f>S78*U78/T78</f>
        <v>3.3557046979865771E-3</v>
      </c>
      <c r="W78" s="160">
        <v>81890</v>
      </c>
      <c r="X78" s="30"/>
      <c r="Y78" s="46">
        <f>W78*V78</f>
        <v>274.79865771812081</v>
      </c>
      <c r="AA78" s="41">
        <v>1</v>
      </c>
      <c r="AB78" s="167" t="s">
        <v>17</v>
      </c>
      <c r="AC78" s="168" t="s">
        <v>53</v>
      </c>
      <c r="AD78" s="169">
        <f t="shared" ref="AD78:AD85" si="56">1/2/149*AE78</f>
        <v>0.33892617449664431</v>
      </c>
      <c r="AE78" s="157">
        <v>101</v>
      </c>
      <c r="AF78" s="158">
        <v>1</v>
      </c>
      <c r="AG78" s="170">
        <f>AD78*AF78/AE78</f>
        <v>3.3557046979865771E-3</v>
      </c>
      <c r="AH78" s="160">
        <v>81890</v>
      </c>
      <c r="AI78" s="30"/>
      <c r="AJ78" s="46">
        <f>AH78*AG78</f>
        <v>274.79865771812081</v>
      </c>
      <c r="AK78" s="27"/>
      <c r="AL78" s="153"/>
      <c r="AM78" s="41">
        <v>1</v>
      </c>
      <c r="AN78" s="167" t="s">
        <v>17</v>
      </c>
      <c r="AO78" s="168" t="s">
        <v>53</v>
      </c>
      <c r="AP78" s="169">
        <f>1/2</f>
        <v>0.5</v>
      </c>
      <c r="AQ78" s="157">
        <v>149</v>
      </c>
      <c r="AR78" s="158">
        <v>1</v>
      </c>
      <c r="AS78" s="170">
        <f>AP78*AR78/AQ78</f>
        <v>3.3557046979865771E-3</v>
      </c>
      <c r="AT78" s="160">
        <v>81890</v>
      </c>
      <c r="AU78" s="30"/>
      <c r="AV78" s="46">
        <f>AT78*AS78</f>
        <v>274.79865771812081</v>
      </c>
      <c r="AW78" s="27"/>
      <c r="AY78" s="17">
        <f t="shared" ref="AY78:AY86" si="57">AJ78*149</f>
        <v>40945</v>
      </c>
      <c r="AZ78" s="24">
        <f>AZ77-BA76</f>
        <v>0.62104000011458993</v>
      </c>
      <c r="BA78" s="5">
        <f>AP78*AT78</f>
        <v>40945</v>
      </c>
    </row>
    <row r="79" spans="1:55" ht="15.75">
      <c r="A79" s="746"/>
      <c r="B79" s="748"/>
      <c r="C79" s="235" t="e">
        <f>'расчет по услугам'!#REF!</f>
        <v>#REF!</v>
      </c>
      <c r="D79" s="224" t="s">
        <v>130</v>
      </c>
      <c r="E79" s="753" t="e">
        <f>'расчет по услугам'!#REF!</f>
        <v>#REF!</v>
      </c>
      <c r="F79" s="753"/>
      <c r="G79" s="191">
        <v>1</v>
      </c>
      <c r="H79" s="192" t="e">
        <f>F79*G79/#REF!</f>
        <v>#REF!</v>
      </c>
      <c r="I79" s="310">
        <v>150000</v>
      </c>
      <c r="J79" s="204"/>
      <c r="K79" s="195" t="e">
        <f t="shared" ref="K79:K86" si="58">I79*H79</f>
        <v>#REF!</v>
      </c>
      <c r="L79" s="205"/>
      <c r="M79" s="274"/>
      <c r="Q79" s="167" t="s">
        <v>18</v>
      </c>
      <c r="R79" s="168" t="s">
        <v>53</v>
      </c>
      <c r="S79" s="169">
        <f t="shared" si="55"/>
        <v>0.16107382550335569</v>
      </c>
      <c r="T79" s="157">
        <f>T78</f>
        <v>48</v>
      </c>
      <c r="U79" s="158">
        <v>1</v>
      </c>
      <c r="V79" s="159">
        <f>S79*U79/T79</f>
        <v>3.3557046979865771E-3</v>
      </c>
      <c r="W79" s="160">
        <v>150000</v>
      </c>
      <c r="X79" s="30"/>
      <c r="Y79" s="46">
        <f t="shared" ref="Y79:Y86" si="59">W79*V79</f>
        <v>503.35570469798654</v>
      </c>
      <c r="AA79" s="41">
        <v>2</v>
      </c>
      <c r="AB79" s="167" t="s">
        <v>18</v>
      </c>
      <c r="AC79" s="168" t="s">
        <v>53</v>
      </c>
      <c r="AD79" s="169">
        <f t="shared" si="56"/>
        <v>0.33892617449664431</v>
      </c>
      <c r="AE79" s="157">
        <f>AE78</f>
        <v>101</v>
      </c>
      <c r="AF79" s="158">
        <v>1</v>
      </c>
      <c r="AG79" s="170">
        <f>AD79*AF79/AE79</f>
        <v>3.3557046979865771E-3</v>
      </c>
      <c r="AH79" s="160">
        <v>150000</v>
      </c>
      <c r="AI79" s="30"/>
      <c r="AJ79" s="46">
        <f t="shared" ref="AJ79:AJ86" si="60">AH79*AG79</f>
        <v>503.35570469798654</v>
      </c>
      <c r="AK79" s="27"/>
      <c r="AL79" s="153"/>
      <c r="AM79" s="41">
        <v>2</v>
      </c>
      <c r="AN79" s="167" t="s">
        <v>18</v>
      </c>
      <c r="AO79" s="168" t="s">
        <v>53</v>
      </c>
      <c r="AP79" s="169">
        <f t="shared" ref="AP79:AP85" si="61">1/2</f>
        <v>0.5</v>
      </c>
      <c r="AQ79" s="157">
        <f>AQ78</f>
        <v>149</v>
      </c>
      <c r="AR79" s="158">
        <v>1</v>
      </c>
      <c r="AS79" s="170">
        <f>AP79*AR79/AQ79</f>
        <v>3.3557046979865771E-3</v>
      </c>
      <c r="AT79" s="160">
        <v>150000</v>
      </c>
      <c r="AU79" s="30"/>
      <c r="AV79" s="46">
        <f t="shared" ref="AV79:AV86" si="62">AT79*AS79</f>
        <v>503.35570469798654</v>
      </c>
      <c r="AW79" s="27"/>
      <c r="AY79" s="171">
        <f t="shared" si="57"/>
        <v>75000</v>
      </c>
      <c r="AZ79" s="172">
        <f>AY79+BA79</f>
        <v>150000</v>
      </c>
      <c r="BA79" s="173">
        <f>AP79*AT79</f>
        <v>75000</v>
      </c>
      <c r="BB79" s="5" t="s">
        <v>230</v>
      </c>
    </row>
    <row r="80" spans="1:55" ht="15.75">
      <c r="A80" s="746"/>
      <c r="B80" s="748"/>
      <c r="C80" s="235" t="e">
        <f>'расчет по услугам'!#REF!</f>
        <v>#REF!</v>
      </c>
      <c r="D80" s="224" t="s">
        <v>130</v>
      </c>
      <c r="E80" s="753" t="e">
        <f>'расчет по услугам'!#REF!</f>
        <v>#REF!</v>
      </c>
      <c r="F80" s="753"/>
      <c r="G80" s="191">
        <v>1</v>
      </c>
      <c r="H80" s="192" t="e">
        <f>F80*G80/#REF!</f>
        <v>#REF!</v>
      </c>
      <c r="I80" s="257">
        <v>30000</v>
      </c>
      <c r="J80" s="204"/>
      <c r="K80" s="195" t="e">
        <f t="shared" si="58"/>
        <v>#REF!</v>
      </c>
      <c r="L80" s="205"/>
      <c r="M80" s="274"/>
      <c r="Q80" s="167" t="s">
        <v>120</v>
      </c>
      <c r="R80" s="168" t="s">
        <v>53</v>
      </c>
      <c r="S80" s="169">
        <f t="shared" si="55"/>
        <v>0.16107382550335569</v>
      </c>
      <c r="T80" s="157">
        <f t="shared" ref="T80:T86" si="63">T79</f>
        <v>48</v>
      </c>
      <c r="U80" s="158">
        <v>1</v>
      </c>
      <c r="V80" s="159">
        <f t="shared" ref="V80:V86" si="64">S80*U80/T80</f>
        <v>3.3557046979865771E-3</v>
      </c>
      <c r="W80" s="174">
        <v>30000</v>
      </c>
      <c r="X80" s="30"/>
      <c r="Y80" s="46">
        <f t="shared" si="59"/>
        <v>100.67114093959731</v>
      </c>
      <c r="AA80" s="41">
        <v>3</v>
      </c>
      <c r="AB80" s="167" t="s">
        <v>120</v>
      </c>
      <c r="AC80" s="168" t="s">
        <v>53</v>
      </c>
      <c r="AD80" s="169">
        <f t="shared" si="56"/>
        <v>0.33892617449664431</v>
      </c>
      <c r="AE80" s="157">
        <f t="shared" ref="AE80:AE86" si="65">AE79</f>
        <v>101</v>
      </c>
      <c r="AF80" s="158">
        <v>1</v>
      </c>
      <c r="AG80" s="170">
        <f t="shared" ref="AG80:AG86" si="66">AD80*AF80/AE80</f>
        <v>3.3557046979865771E-3</v>
      </c>
      <c r="AH80" s="174">
        <v>30000</v>
      </c>
      <c r="AI80" s="30"/>
      <c r="AJ80" s="46">
        <f t="shared" si="60"/>
        <v>100.67114093959731</v>
      </c>
      <c r="AK80" s="27"/>
      <c r="AL80" s="153"/>
      <c r="AM80" s="41">
        <v>3</v>
      </c>
      <c r="AN80" s="167" t="s">
        <v>120</v>
      </c>
      <c r="AO80" s="168" t="s">
        <v>53</v>
      </c>
      <c r="AP80" s="169">
        <f t="shared" si="61"/>
        <v>0.5</v>
      </c>
      <c r="AQ80" s="157">
        <f t="shared" ref="AQ80:AQ86" si="67">AQ79</f>
        <v>149</v>
      </c>
      <c r="AR80" s="158">
        <v>1</v>
      </c>
      <c r="AS80" s="170">
        <f t="shared" ref="AS80:AS86" si="68">AP80*AR80/AQ80</f>
        <v>3.3557046979865771E-3</v>
      </c>
      <c r="AT80" s="174">
        <v>30000</v>
      </c>
      <c r="AU80" s="30"/>
      <c r="AV80" s="46">
        <f t="shared" si="62"/>
        <v>100.67114093959731</v>
      </c>
      <c r="AW80" s="27"/>
      <c r="AY80" s="17">
        <f t="shared" si="57"/>
        <v>14999.999999999998</v>
      </c>
      <c r="AZ80" s="172">
        <f t="shared" ref="AZ80:AZ85" si="69">AY80+BA80</f>
        <v>30000</v>
      </c>
      <c r="BA80" s="5">
        <f t="shared" ref="BA80:BA86" si="70">AP80*AT80</f>
        <v>15000</v>
      </c>
    </row>
    <row r="81" spans="1:54" ht="15.75">
      <c r="A81" s="746"/>
      <c r="B81" s="748"/>
      <c r="C81" s="235" t="e">
        <f>'расчет по услугам'!#REF!</f>
        <v>#REF!</v>
      </c>
      <c r="D81" s="224" t="s">
        <v>130</v>
      </c>
      <c r="E81" s="753" t="e">
        <f>'расчет по услугам'!#REF!</f>
        <v>#REF!</v>
      </c>
      <c r="F81" s="753"/>
      <c r="G81" s="191"/>
      <c r="H81" s="192"/>
      <c r="I81" s="257"/>
      <c r="J81" s="204"/>
      <c r="K81" s="195"/>
      <c r="L81" s="205"/>
      <c r="M81" s="274"/>
      <c r="Q81" s="258"/>
      <c r="R81" s="259"/>
      <c r="S81" s="260"/>
      <c r="T81" s="228"/>
      <c r="U81" s="191"/>
      <c r="V81" s="245"/>
      <c r="W81" s="257"/>
      <c r="X81" s="204"/>
      <c r="Y81" s="195"/>
      <c r="AA81" s="261"/>
      <c r="AB81" s="258"/>
      <c r="AC81" s="259"/>
      <c r="AD81" s="260"/>
      <c r="AE81" s="228"/>
      <c r="AF81" s="191"/>
      <c r="AG81" s="192"/>
      <c r="AH81" s="257"/>
      <c r="AI81" s="204"/>
      <c r="AJ81" s="195"/>
      <c r="AK81" s="205"/>
      <c r="AL81" s="197"/>
      <c r="AM81" s="261"/>
      <c r="AN81" s="258"/>
      <c r="AO81" s="259"/>
      <c r="AP81" s="260"/>
      <c r="AQ81" s="228"/>
      <c r="AR81" s="191"/>
      <c r="AS81" s="192"/>
      <c r="AT81" s="257"/>
      <c r="AU81" s="204"/>
      <c r="AV81" s="195"/>
      <c r="AW81" s="205"/>
      <c r="AY81" s="17"/>
      <c r="AZ81" s="232"/>
    </row>
    <row r="82" spans="1:54" ht="15.75">
      <c r="A82" s="746"/>
      <c r="B82" s="748"/>
      <c r="C82" s="235" t="e">
        <f>'расчет по услугам'!#REF!</f>
        <v>#REF!</v>
      </c>
      <c r="D82" s="224" t="s">
        <v>130</v>
      </c>
      <c r="E82" s="753" t="e">
        <f>'расчет по услугам'!#REF!</f>
        <v>#REF!</v>
      </c>
      <c r="F82" s="753"/>
      <c r="G82" s="191"/>
      <c r="H82" s="192"/>
      <c r="I82" s="257"/>
      <c r="J82" s="204"/>
      <c r="K82" s="195"/>
      <c r="L82" s="205"/>
      <c r="M82" s="274"/>
      <c r="Q82" s="258"/>
      <c r="R82" s="259"/>
      <c r="S82" s="260"/>
      <c r="T82" s="228"/>
      <c r="U82" s="191"/>
      <c r="V82" s="245"/>
      <c r="W82" s="257"/>
      <c r="X82" s="204"/>
      <c r="Y82" s="195"/>
      <c r="AA82" s="261"/>
      <c r="AB82" s="258"/>
      <c r="AC82" s="259"/>
      <c r="AD82" s="260"/>
      <c r="AE82" s="228"/>
      <c r="AF82" s="191"/>
      <c r="AG82" s="192"/>
      <c r="AH82" s="257"/>
      <c r="AI82" s="204"/>
      <c r="AJ82" s="195"/>
      <c r="AK82" s="205"/>
      <c r="AL82" s="197"/>
      <c r="AM82" s="261"/>
      <c r="AN82" s="258"/>
      <c r="AO82" s="259"/>
      <c r="AP82" s="260"/>
      <c r="AQ82" s="228"/>
      <c r="AR82" s="191"/>
      <c r="AS82" s="192"/>
      <c r="AT82" s="257"/>
      <c r="AU82" s="204"/>
      <c r="AV82" s="195"/>
      <c r="AW82" s="205"/>
      <c r="AY82" s="17"/>
      <c r="AZ82" s="232"/>
    </row>
    <row r="83" spans="1:54" ht="15.75">
      <c r="A83" s="746"/>
      <c r="B83" s="748"/>
      <c r="C83" s="235" t="e">
        <f>'расчет по услугам'!#REF!</f>
        <v>#REF!</v>
      </c>
      <c r="D83" s="224" t="s">
        <v>130</v>
      </c>
      <c r="E83" s="753" t="e">
        <f>'расчет по услугам'!#REF!</f>
        <v>#REF!</v>
      </c>
      <c r="F83" s="753"/>
      <c r="G83" s="191">
        <v>1</v>
      </c>
      <c r="H83" s="192" t="e">
        <f>F83*G83/#REF!</f>
        <v>#REF!</v>
      </c>
      <c r="I83" s="310">
        <v>300000</v>
      </c>
      <c r="J83" s="204"/>
      <c r="K83" s="195" t="e">
        <f t="shared" si="58"/>
        <v>#REF!</v>
      </c>
      <c r="L83" s="205"/>
      <c r="M83" s="274"/>
      <c r="Q83" s="167" t="s">
        <v>93</v>
      </c>
      <c r="R83" s="168" t="s">
        <v>53</v>
      </c>
      <c r="S83" s="169">
        <f t="shared" si="55"/>
        <v>0.16107382550335569</v>
      </c>
      <c r="T83" s="157">
        <f>T80</f>
        <v>48</v>
      </c>
      <c r="U83" s="158">
        <v>1</v>
      </c>
      <c r="V83" s="159">
        <f t="shared" si="64"/>
        <v>3.3557046979865771E-3</v>
      </c>
      <c r="W83" s="160">
        <v>300000</v>
      </c>
      <c r="X83" s="30"/>
      <c r="Y83" s="46">
        <f t="shared" si="59"/>
        <v>1006.7114093959731</v>
      </c>
      <c r="AA83" s="41">
        <v>4</v>
      </c>
      <c r="AB83" s="167" t="s">
        <v>93</v>
      </c>
      <c r="AC83" s="168" t="s">
        <v>53</v>
      </c>
      <c r="AD83" s="169">
        <f t="shared" si="56"/>
        <v>0.33892617449664431</v>
      </c>
      <c r="AE83" s="157">
        <f>AE80</f>
        <v>101</v>
      </c>
      <c r="AF83" s="158">
        <v>1</v>
      </c>
      <c r="AG83" s="170">
        <f t="shared" si="66"/>
        <v>3.3557046979865771E-3</v>
      </c>
      <c r="AH83" s="160">
        <v>300000</v>
      </c>
      <c r="AI83" s="30"/>
      <c r="AJ83" s="46">
        <f t="shared" si="60"/>
        <v>1006.7114093959731</v>
      </c>
      <c r="AK83" s="27"/>
      <c r="AL83" s="153"/>
      <c r="AM83" s="41">
        <v>4</v>
      </c>
      <c r="AN83" s="167" t="s">
        <v>93</v>
      </c>
      <c r="AO83" s="168" t="s">
        <v>53</v>
      </c>
      <c r="AP83" s="169">
        <f t="shared" si="61"/>
        <v>0.5</v>
      </c>
      <c r="AQ83" s="157">
        <f>AQ80</f>
        <v>149</v>
      </c>
      <c r="AR83" s="158">
        <v>1</v>
      </c>
      <c r="AS83" s="170">
        <f t="shared" si="68"/>
        <v>3.3557046979865771E-3</v>
      </c>
      <c r="AT83" s="160">
        <v>300000</v>
      </c>
      <c r="AU83" s="30"/>
      <c r="AV83" s="46">
        <f t="shared" si="62"/>
        <v>1006.7114093959731</v>
      </c>
      <c r="AW83" s="27"/>
      <c r="AY83" s="17">
        <f t="shared" si="57"/>
        <v>150000</v>
      </c>
      <c r="AZ83" s="172">
        <f t="shared" si="69"/>
        <v>300000</v>
      </c>
      <c r="BA83" s="5">
        <f t="shared" si="70"/>
        <v>150000</v>
      </c>
    </row>
    <row r="84" spans="1:54" ht="15.75">
      <c r="A84" s="746"/>
      <c r="B84" s="748"/>
      <c r="C84" s="235" t="e">
        <f>'расчет по услугам'!#REF!</f>
        <v>#REF!</v>
      </c>
      <c r="D84" s="224" t="s">
        <v>130</v>
      </c>
      <c r="E84" s="753" t="e">
        <f>'расчет по услугам'!#REF!</f>
        <v>#REF!</v>
      </c>
      <c r="F84" s="753"/>
      <c r="G84" s="191">
        <v>1</v>
      </c>
      <c r="H84" s="192" t="e">
        <f>F84*G84/#REF!</f>
        <v>#REF!</v>
      </c>
      <c r="I84" s="310">
        <v>32600</v>
      </c>
      <c r="J84" s="204"/>
      <c r="K84" s="195" t="e">
        <f t="shared" si="58"/>
        <v>#REF!</v>
      </c>
      <c r="L84" s="205"/>
      <c r="M84" s="274"/>
      <c r="Q84" s="167" t="s">
        <v>19</v>
      </c>
      <c r="R84" s="168" t="s">
        <v>53</v>
      </c>
      <c r="S84" s="169">
        <f t="shared" si="55"/>
        <v>0.16107382550335569</v>
      </c>
      <c r="T84" s="157">
        <v>48</v>
      </c>
      <c r="U84" s="158">
        <v>1</v>
      </c>
      <c r="V84" s="159">
        <f t="shared" si="64"/>
        <v>3.3557046979865771E-3</v>
      </c>
      <c r="W84" s="160">
        <v>32600</v>
      </c>
      <c r="X84" s="30"/>
      <c r="Y84" s="46">
        <f t="shared" si="59"/>
        <v>109.39597315436241</v>
      </c>
      <c r="AA84" s="41">
        <v>5</v>
      </c>
      <c r="AB84" s="167" t="s">
        <v>19</v>
      </c>
      <c r="AC84" s="168" t="s">
        <v>53</v>
      </c>
      <c r="AD84" s="169">
        <f t="shared" si="56"/>
        <v>0.33892617449664431</v>
      </c>
      <c r="AE84" s="157">
        <v>101</v>
      </c>
      <c r="AF84" s="158">
        <v>1</v>
      </c>
      <c r="AG84" s="170">
        <f t="shared" si="66"/>
        <v>3.3557046979865771E-3</v>
      </c>
      <c r="AH84" s="160">
        <v>32600</v>
      </c>
      <c r="AI84" s="30"/>
      <c r="AJ84" s="46">
        <f t="shared" si="60"/>
        <v>109.39597315436241</v>
      </c>
      <c r="AK84" s="27"/>
      <c r="AL84" s="153"/>
      <c r="AM84" s="41">
        <v>5</v>
      </c>
      <c r="AN84" s="167" t="s">
        <v>19</v>
      </c>
      <c r="AO84" s="168" t="s">
        <v>53</v>
      </c>
      <c r="AP84" s="169">
        <f t="shared" si="61"/>
        <v>0.5</v>
      </c>
      <c r="AQ84" s="157">
        <f t="shared" si="67"/>
        <v>149</v>
      </c>
      <c r="AR84" s="158">
        <v>1</v>
      </c>
      <c r="AS84" s="170">
        <f t="shared" si="68"/>
        <v>3.3557046979865771E-3</v>
      </c>
      <c r="AT84" s="160">
        <v>32600</v>
      </c>
      <c r="AU84" s="30"/>
      <c r="AV84" s="46">
        <f t="shared" si="62"/>
        <v>109.39597315436241</v>
      </c>
      <c r="AW84" s="27"/>
      <c r="AY84" s="17">
        <f t="shared" si="57"/>
        <v>16299.999999999998</v>
      </c>
      <c r="AZ84" s="172">
        <f t="shared" si="69"/>
        <v>32600</v>
      </c>
      <c r="BA84" s="5">
        <f t="shared" si="70"/>
        <v>16300</v>
      </c>
    </row>
    <row r="85" spans="1:54" ht="15.75">
      <c r="A85" s="746"/>
      <c r="B85" s="748"/>
      <c r="C85" s="235" t="e">
        <f>'расчет по услугам'!#REF!</f>
        <v>#REF!</v>
      </c>
      <c r="D85" s="224" t="s">
        <v>130</v>
      </c>
      <c r="E85" s="753" t="e">
        <f>'расчет по услугам'!#REF!</f>
        <v>#REF!</v>
      </c>
      <c r="F85" s="753"/>
      <c r="G85" s="191">
        <v>1</v>
      </c>
      <c r="H85" s="192" t="e">
        <f>F85*G85/#REF!</f>
        <v>#REF!</v>
      </c>
      <c r="I85" s="310">
        <v>50000</v>
      </c>
      <c r="J85" s="204"/>
      <c r="K85" s="195" t="e">
        <f t="shared" si="58"/>
        <v>#REF!</v>
      </c>
      <c r="L85" s="205"/>
      <c r="M85" s="274"/>
      <c r="Q85" s="167" t="s">
        <v>113</v>
      </c>
      <c r="R85" s="168" t="s">
        <v>53</v>
      </c>
      <c r="S85" s="169">
        <f t="shared" si="55"/>
        <v>0.16107382550335569</v>
      </c>
      <c r="T85" s="157">
        <f t="shared" si="63"/>
        <v>48</v>
      </c>
      <c r="U85" s="158">
        <v>1</v>
      </c>
      <c r="V85" s="159">
        <f t="shared" si="64"/>
        <v>3.3557046979865771E-3</v>
      </c>
      <c r="W85" s="160">
        <v>50000</v>
      </c>
      <c r="X85" s="30"/>
      <c r="Y85" s="46">
        <f t="shared" si="59"/>
        <v>167.78523489932886</v>
      </c>
      <c r="AA85" s="41">
        <v>6</v>
      </c>
      <c r="AB85" s="167" t="s">
        <v>113</v>
      </c>
      <c r="AC85" s="168" t="s">
        <v>53</v>
      </c>
      <c r="AD85" s="169">
        <f t="shared" si="56"/>
        <v>0.33892617449664431</v>
      </c>
      <c r="AE85" s="157">
        <f t="shared" si="65"/>
        <v>101</v>
      </c>
      <c r="AF85" s="158">
        <v>1</v>
      </c>
      <c r="AG85" s="170">
        <f t="shared" si="66"/>
        <v>3.3557046979865771E-3</v>
      </c>
      <c r="AH85" s="160">
        <v>50000</v>
      </c>
      <c r="AI85" s="30"/>
      <c r="AJ85" s="46">
        <f t="shared" si="60"/>
        <v>167.78523489932886</v>
      </c>
      <c r="AK85" s="27"/>
      <c r="AL85" s="153"/>
      <c r="AM85" s="41">
        <v>6</v>
      </c>
      <c r="AN85" s="167" t="s">
        <v>113</v>
      </c>
      <c r="AO85" s="168" t="s">
        <v>53</v>
      </c>
      <c r="AP85" s="169">
        <f t="shared" si="61"/>
        <v>0.5</v>
      </c>
      <c r="AQ85" s="157">
        <f t="shared" si="67"/>
        <v>149</v>
      </c>
      <c r="AR85" s="158">
        <v>1</v>
      </c>
      <c r="AS85" s="170">
        <f t="shared" si="68"/>
        <v>3.3557046979865771E-3</v>
      </c>
      <c r="AT85" s="160">
        <v>50000</v>
      </c>
      <c r="AU85" s="30"/>
      <c r="AV85" s="46">
        <f t="shared" si="62"/>
        <v>167.78523489932886</v>
      </c>
      <c r="AW85" s="27"/>
      <c r="AY85" s="17">
        <f t="shared" si="57"/>
        <v>25000</v>
      </c>
      <c r="AZ85" s="172">
        <f t="shared" si="69"/>
        <v>50000</v>
      </c>
      <c r="BA85" s="5">
        <f t="shared" si="70"/>
        <v>25000</v>
      </c>
    </row>
    <row r="86" spans="1:54" ht="77.25">
      <c r="A86" s="746"/>
      <c r="B86" s="748"/>
      <c r="C86" s="235" t="e">
        <f>'расчет по услугам'!#REF!</f>
        <v>#REF!</v>
      </c>
      <c r="D86" s="224" t="s">
        <v>130</v>
      </c>
      <c r="E86" s="753" t="e">
        <f>'расчет по услугам'!#REF!</f>
        <v>#REF!</v>
      </c>
      <c r="F86" s="753"/>
      <c r="G86" s="191">
        <v>1</v>
      </c>
      <c r="H86" s="192" t="e">
        <f>F86*G86/#REF!</f>
        <v>#REF!</v>
      </c>
      <c r="I86" s="310">
        <f>(40000+20000+20000+60000)/4</f>
        <v>35000</v>
      </c>
      <c r="J86" s="204"/>
      <c r="K86" s="195" t="e">
        <f t="shared" si="58"/>
        <v>#REF!</v>
      </c>
      <c r="L86" s="205"/>
      <c r="M86" s="274"/>
      <c r="Q86" s="167" t="s">
        <v>112</v>
      </c>
      <c r="R86" s="168" t="s">
        <v>53</v>
      </c>
      <c r="S86" s="169">
        <f>4/2/149*T86</f>
        <v>0.64429530201342278</v>
      </c>
      <c r="T86" s="157">
        <f t="shared" si="63"/>
        <v>48</v>
      </c>
      <c r="U86" s="158">
        <v>1</v>
      </c>
      <c r="V86" s="159">
        <f t="shared" si="64"/>
        <v>1.3422818791946308E-2</v>
      </c>
      <c r="W86" s="160">
        <f>(40000+20000+20000+60000)/4</f>
        <v>35000</v>
      </c>
      <c r="X86" s="30"/>
      <c r="Y86" s="46">
        <f t="shared" si="59"/>
        <v>469.79865771812081</v>
      </c>
      <c r="AA86" s="41">
        <v>7</v>
      </c>
      <c r="AB86" s="167" t="s">
        <v>112</v>
      </c>
      <c r="AC86" s="168" t="s">
        <v>53</v>
      </c>
      <c r="AD86" s="169">
        <f>4/2/149*AE86</f>
        <v>1.3557046979865772</v>
      </c>
      <c r="AE86" s="157">
        <f t="shared" si="65"/>
        <v>101</v>
      </c>
      <c r="AF86" s="158">
        <v>1</v>
      </c>
      <c r="AG86" s="170">
        <f t="shared" si="66"/>
        <v>1.3422818791946308E-2</v>
      </c>
      <c r="AH86" s="160">
        <f>(40000+20000+20000+60000)/4</f>
        <v>35000</v>
      </c>
      <c r="AI86" s="30"/>
      <c r="AJ86" s="46">
        <f t="shared" si="60"/>
        <v>469.79865771812081</v>
      </c>
      <c r="AK86" s="27"/>
      <c r="AL86" s="153"/>
      <c r="AM86" s="41">
        <v>7</v>
      </c>
      <c r="AN86" s="167" t="s">
        <v>112</v>
      </c>
      <c r="AO86" s="168" t="s">
        <v>53</v>
      </c>
      <c r="AP86" s="169">
        <f>4/2</f>
        <v>2</v>
      </c>
      <c r="AQ86" s="157">
        <f t="shared" si="67"/>
        <v>149</v>
      </c>
      <c r="AR86" s="158">
        <v>1</v>
      </c>
      <c r="AS86" s="170">
        <f t="shared" si="68"/>
        <v>1.3422818791946308E-2</v>
      </c>
      <c r="AT86" s="160">
        <f>(40000+20000+20000+60000)/4</f>
        <v>35000</v>
      </c>
      <c r="AU86" s="30"/>
      <c r="AV86" s="46">
        <f t="shared" si="62"/>
        <v>469.79865771812081</v>
      </c>
      <c r="AW86" s="27"/>
      <c r="AY86" s="17">
        <f t="shared" si="57"/>
        <v>70000</v>
      </c>
      <c r="AZ86" s="172">
        <f>AY86+BA86</f>
        <v>140000</v>
      </c>
      <c r="BA86" s="5">
        <f t="shared" si="70"/>
        <v>70000</v>
      </c>
      <c r="BB86" s="24">
        <f>BB87-AY79-BA79</f>
        <v>634490</v>
      </c>
    </row>
    <row r="87" spans="1:54" ht="15.75" hidden="1" customHeight="1" thickBot="1">
      <c r="A87" s="746"/>
      <c r="B87" s="748"/>
      <c r="C87" s="810"/>
      <c r="D87" s="810"/>
      <c r="E87" s="810"/>
      <c r="F87" s="810"/>
      <c r="G87" s="810"/>
      <c r="H87" s="810"/>
      <c r="I87" s="810"/>
      <c r="J87" s="810"/>
      <c r="K87" s="246" t="e">
        <f>SUM(K78:K86)</f>
        <v>#REF!</v>
      </c>
      <c r="L87" s="205"/>
      <c r="M87" s="275"/>
      <c r="Q87" s="68"/>
      <c r="R87" s="68"/>
      <c r="S87" s="68"/>
      <c r="T87" s="68"/>
      <c r="U87" s="68"/>
      <c r="V87" s="68"/>
      <c r="W87" s="68"/>
      <c r="X87" s="68"/>
      <c r="Y87" s="175">
        <f>SUM(Y78:Y86)</f>
        <v>2632.5167785234898</v>
      </c>
      <c r="AA87" s="811" t="s">
        <v>27</v>
      </c>
      <c r="AB87" s="812"/>
      <c r="AC87" s="812"/>
      <c r="AD87" s="812"/>
      <c r="AE87" s="812"/>
      <c r="AF87" s="812"/>
      <c r="AG87" s="812"/>
      <c r="AH87" s="812"/>
      <c r="AI87" s="813"/>
      <c r="AJ87" s="175">
        <f>SUM(AJ78:AJ86)</f>
        <v>2632.5167785234898</v>
      </c>
      <c r="AK87" s="27"/>
      <c r="AL87" s="162"/>
      <c r="AM87" s="811" t="s">
        <v>27</v>
      </c>
      <c r="AN87" s="812"/>
      <c r="AO87" s="812"/>
      <c r="AP87" s="812"/>
      <c r="AQ87" s="812"/>
      <c r="AR87" s="812"/>
      <c r="AS87" s="812"/>
      <c r="AT87" s="812"/>
      <c r="AU87" s="813"/>
      <c r="AV87" s="175">
        <f>SUM(AV78:AV86)</f>
        <v>2632.5167785234898</v>
      </c>
      <c r="AW87" s="27"/>
      <c r="AY87" s="175">
        <f>SUM(AY78:AY86)</f>
        <v>392245</v>
      </c>
      <c r="AZ87" s="5">
        <f>(634490+150000)/2</f>
        <v>392245</v>
      </c>
      <c r="BA87" s="176">
        <f>SUM(BA78:BA86)</f>
        <v>392245</v>
      </c>
      <c r="BB87" s="95">
        <f>AY87+BA87</f>
        <v>784490</v>
      </c>
    </row>
    <row r="88" spans="1:54" ht="15" hidden="1" customHeight="1">
      <c r="A88" s="746"/>
      <c r="B88" s="748"/>
      <c r="C88" s="814" t="s">
        <v>67</v>
      </c>
      <c r="D88" s="814"/>
      <c r="E88" s="814"/>
      <c r="F88" s="814"/>
      <c r="G88" s="814"/>
      <c r="H88" s="814"/>
      <c r="I88" s="814"/>
      <c r="J88" s="814"/>
      <c r="K88" s="814"/>
      <c r="L88" s="814"/>
      <c r="M88" s="152"/>
      <c r="Q88" s="68"/>
      <c r="R88" s="68"/>
      <c r="S88" s="68"/>
      <c r="T88" s="68"/>
      <c r="U88" s="68"/>
      <c r="V88" s="68"/>
      <c r="W88" s="68"/>
      <c r="X88" s="68"/>
      <c r="Y88" s="68"/>
      <c r="AA88" s="806" t="s">
        <v>67</v>
      </c>
      <c r="AB88" s="807"/>
      <c r="AC88" s="807"/>
      <c r="AD88" s="807"/>
      <c r="AE88" s="807"/>
      <c r="AF88" s="807"/>
      <c r="AG88" s="807"/>
      <c r="AH88" s="807"/>
      <c r="AI88" s="807"/>
      <c r="AJ88" s="807"/>
      <c r="AK88" s="808"/>
      <c r="AL88" s="152"/>
      <c r="AM88" s="806" t="s">
        <v>67</v>
      </c>
      <c r="AN88" s="807"/>
      <c r="AO88" s="807"/>
      <c r="AP88" s="807"/>
      <c r="AQ88" s="807"/>
      <c r="AR88" s="807"/>
      <c r="AS88" s="807"/>
      <c r="AT88" s="807"/>
      <c r="AU88" s="807"/>
      <c r="AV88" s="807"/>
      <c r="AW88" s="808"/>
      <c r="AZ88" s="38">
        <f>AZ87-AY87</f>
        <v>0</v>
      </c>
      <c r="BA88" s="38"/>
      <c r="BB88" s="38"/>
    </row>
    <row r="89" spans="1:54" ht="15" hidden="1" customHeight="1">
      <c r="A89" s="746"/>
      <c r="B89" s="748"/>
      <c r="C89" s="261"/>
      <c r="D89" s="261"/>
      <c r="E89" s="261"/>
      <c r="F89" s="311"/>
      <c r="G89" s="312">
        <v>300</v>
      </c>
      <c r="H89" s="313" t="e">
        <f>F89*G89/#REF!</f>
        <v>#REF!</v>
      </c>
      <c r="I89" s="314"/>
      <c r="J89" s="204"/>
      <c r="K89" s="195" t="e">
        <f>I89*H89</f>
        <v>#REF!</v>
      </c>
      <c r="L89" s="205"/>
      <c r="M89" s="274"/>
      <c r="Q89" s="41"/>
      <c r="R89" s="41"/>
      <c r="S89" s="177"/>
      <c r="T89" s="43">
        <f t="shared" ref="T89:T91" si="71">300*245</f>
        <v>73500</v>
      </c>
      <c r="U89" s="44">
        <v>300</v>
      </c>
      <c r="V89" s="45">
        <f t="shared" ref="V89:V91" si="72">S89*U89/T89</f>
        <v>0</v>
      </c>
      <c r="W89" s="178"/>
      <c r="X89" s="30"/>
      <c r="Y89" s="46">
        <f>W89*V89</f>
        <v>0</v>
      </c>
      <c r="AA89" s="41"/>
      <c r="AB89" s="41"/>
      <c r="AC89" s="41"/>
      <c r="AD89" s="177"/>
      <c r="AE89" s="43">
        <f t="shared" ref="AE89:AE91" si="73">300*245</f>
        <v>73500</v>
      </c>
      <c r="AF89" s="44">
        <v>300</v>
      </c>
      <c r="AG89" s="45">
        <f t="shared" ref="AG89:AG91" si="74">AD89*AF89/AE89</f>
        <v>0</v>
      </c>
      <c r="AH89" s="178"/>
      <c r="AI89" s="30"/>
      <c r="AJ89" s="46">
        <f>AH89*AG89</f>
        <v>0</v>
      </c>
      <c r="AK89" s="27"/>
      <c r="AL89" s="153"/>
      <c r="AM89" s="41"/>
      <c r="AN89" s="41"/>
      <c r="AO89" s="41"/>
      <c r="AP89" s="177"/>
      <c r="AQ89" s="43">
        <f t="shared" ref="AQ89:AQ91" si="75">300*245</f>
        <v>73500</v>
      </c>
      <c r="AR89" s="44">
        <v>300</v>
      </c>
      <c r="AS89" s="45">
        <f t="shared" ref="AS89:AS91" si="76">AP89*AR89/AQ89</f>
        <v>0</v>
      </c>
      <c r="AT89" s="178"/>
      <c r="AU89" s="30"/>
      <c r="AV89" s="46">
        <f>AT89*AS89</f>
        <v>0</v>
      </c>
      <c r="AW89" s="27"/>
      <c r="AY89" s="17">
        <f t="shared" ref="AY89:AY99" si="77">AJ89*443052</f>
        <v>0</v>
      </c>
    </row>
    <row r="90" spans="1:54" ht="15" hidden="1" customHeight="1">
      <c r="A90" s="746"/>
      <c r="B90" s="748"/>
      <c r="C90" s="261"/>
      <c r="D90" s="261"/>
      <c r="E90" s="261"/>
      <c r="F90" s="311"/>
      <c r="G90" s="312">
        <v>300</v>
      </c>
      <c r="H90" s="313" t="e">
        <f>F90*G90/#REF!</f>
        <v>#REF!</v>
      </c>
      <c r="I90" s="315"/>
      <c r="J90" s="204"/>
      <c r="K90" s="195" t="e">
        <f>I90*H90</f>
        <v>#REF!</v>
      </c>
      <c r="L90" s="205"/>
      <c r="M90" s="274"/>
      <c r="Q90" s="41"/>
      <c r="R90" s="41"/>
      <c r="S90" s="177"/>
      <c r="T90" s="43">
        <f t="shared" si="71"/>
        <v>73500</v>
      </c>
      <c r="U90" s="44">
        <v>300</v>
      </c>
      <c r="V90" s="45">
        <f t="shared" si="72"/>
        <v>0</v>
      </c>
      <c r="W90" s="179"/>
      <c r="X90" s="30"/>
      <c r="Y90" s="46">
        <f>W90*V90</f>
        <v>0</v>
      </c>
      <c r="AA90" s="41"/>
      <c r="AB90" s="41"/>
      <c r="AC90" s="41"/>
      <c r="AD90" s="177"/>
      <c r="AE90" s="43">
        <f t="shared" si="73"/>
        <v>73500</v>
      </c>
      <c r="AF90" s="44">
        <v>300</v>
      </c>
      <c r="AG90" s="45">
        <f t="shared" si="74"/>
        <v>0</v>
      </c>
      <c r="AH90" s="179"/>
      <c r="AI90" s="30"/>
      <c r="AJ90" s="46">
        <f>AH90*AG90</f>
        <v>0</v>
      </c>
      <c r="AK90" s="27"/>
      <c r="AL90" s="153"/>
      <c r="AM90" s="41"/>
      <c r="AN90" s="41"/>
      <c r="AO90" s="41"/>
      <c r="AP90" s="177"/>
      <c r="AQ90" s="43">
        <f t="shared" si="75"/>
        <v>73500</v>
      </c>
      <c r="AR90" s="44">
        <v>300</v>
      </c>
      <c r="AS90" s="45">
        <f t="shared" si="76"/>
        <v>0</v>
      </c>
      <c r="AT90" s="179"/>
      <c r="AU90" s="30"/>
      <c r="AV90" s="46">
        <f>AT90*AS90</f>
        <v>0</v>
      </c>
      <c r="AW90" s="27"/>
      <c r="AY90" s="17">
        <f t="shared" si="77"/>
        <v>0</v>
      </c>
    </row>
    <row r="91" spans="1:54" ht="15" hidden="1" customHeight="1">
      <c r="A91" s="746"/>
      <c r="B91" s="748"/>
      <c r="C91" s="261"/>
      <c r="D91" s="261"/>
      <c r="E91" s="261"/>
      <c r="F91" s="311"/>
      <c r="G91" s="312">
        <v>300</v>
      </c>
      <c r="H91" s="313" t="e">
        <f>F91*G91/#REF!</f>
        <v>#REF!</v>
      </c>
      <c r="I91" s="315"/>
      <c r="J91" s="204"/>
      <c r="K91" s="195" t="e">
        <f>I91*H91</f>
        <v>#REF!</v>
      </c>
      <c r="L91" s="205"/>
      <c r="M91" s="274"/>
      <c r="Q91" s="41"/>
      <c r="R91" s="41"/>
      <c r="S91" s="177"/>
      <c r="T91" s="43">
        <f t="shared" si="71"/>
        <v>73500</v>
      </c>
      <c r="U91" s="44">
        <v>300</v>
      </c>
      <c r="V91" s="45">
        <f t="shared" si="72"/>
        <v>0</v>
      </c>
      <c r="W91" s="179"/>
      <c r="X91" s="30"/>
      <c r="Y91" s="46">
        <f>W91*V91</f>
        <v>0</v>
      </c>
      <c r="AA91" s="41"/>
      <c r="AB91" s="41"/>
      <c r="AC91" s="41"/>
      <c r="AD91" s="177"/>
      <c r="AE91" s="43">
        <f t="shared" si="73"/>
        <v>73500</v>
      </c>
      <c r="AF91" s="44">
        <v>300</v>
      </c>
      <c r="AG91" s="45">
        <f t="shared" si="74"/>
        <v>0</v>
      </c>
      <c r="AH91" s="179"/>
      <c r="AI91" s="30"/>
      <c r="AJ91" s="46">
        <f>AH91*AG91</f>
        <v>0</v>
      </c>
      <c r="AK91" s="27"/>
      <c r="AL91" s="153"/>
      <c r="AM91" s="41"/>
      <c r="AN91" s="41"/>
      <c r="AO91" s="41"/>
      <c r="AP91" s="177"/>
      <c r="AQ91" s="43">
        <f t="shared" si="75"/>
        <v>73500</v>
      </c>
      <c r="AR91" s="44">
        <v>300</v>
      </c>
      <c r="AS91" s="45">
        <f t="shared" si="76"/>
        <v>0</v>
      </c>
      <c r="AT91" s="179"/>
      <c r="AU91" s="30"/>
      <c r="AV91" s="46">
        <f>AT91*AS91</f>
        <v>0</v>
      </c>
      <c r="AW91" s="27"/>
      <c r="AY91" s="17">
        <f t="shared" si="77"/>
        <v>0</v>
      </c>
    </row>
    <row r="92" spans="1:54" ht="15" hidden="1" customHeight="1">
      <c r="A92" s="746"/>
      <c r="B92" s="748"/>
      <c r="C92" s="810"/>
      <c r="D92" s="810"/>
      <c r="E92" s="810"/>
      <c r="F92" s="810"/>
      <c r="G92" s="810"/>
      <c r="H92" s="810"/>
      <c r="I92" s="810"/>
      <c r="J92" s="810"/>
      <c r="K92" s="246" t="e">
        <f>SUM(K89:K91)</f>
        <v>#REF!</v>
      </c>
      <c r="L92" s="205"/>
      <c r="M92" s="275"/>
      <c r="Q92" s="68"/>
      <c r="R92" s="68"/>
      <c r="S92" s="68"/>
      <c r="T92" s="68"/>
      <c r="U92" s="68"/>
      <c r="V92" s="68"/>
      <c r="W92" s="68"/>
      <c r="X92" s="68"/>
      <c r="Y92" s="175">
        <f>SUM(Y89:Y91)</f>
        <v>0</v>
      </c>
      <c r="AA92" s="811" t="s">
        <v>27</v>
      </c>
      <c r="AB92" s="812"/>
      <c r="AC92" s="812"/>
      <c r="AD92" s="812"/>
      <c r="AE92" s="812"/>
      <c r="AF92" s="812"/>
      <c r="AG92" s="812"/>
      <c r="AH92" s="812"/>
      <c r="AI92" s="813"/>
      <c r="AJ92" s="175">
        <f>SUM(AJ89:AJ91)</f>
        <v>0</v>
      </c>
      <c r="AK92" s="27"/>
      <c r="AL92" s="162"/>
      <c r="AM92" s="811" t="s">
        <v>27</v>
      </c>
      <c r="AN92" s="812"/>
      <c r="AO92" s="812"/>
      <c r="AP92" s="812"/>
      <c r="AQ92" s="812"/>
      <c r="AR92" s="812"/>
      <c r="AS92" s="812"/>
      <c r="AT92" s="812"/>
      <c r="AU92" s="813"/>
      <c r="AV92" s="175">
        <f>SUM(AV89:AV91)</f>
        <v>0</v>
      </c>
      <c r="AW92" s="27"/>
      <c r="AY92" s="17">
        <f t="shared" si="77"/>
        <v>0</v>
      </c>
    </row>
    <row r="93" spans="1:54" s="55" customFormat="1" ht="26.25" customHeight="1">
      <c r="A93" s="746"/>
      <c r="B93" s="748"/>
      <c r="C93" s="749" t="s">
        <v>21</v>
      </c>
      <c r="D93" s="749"/>
      <c r="E93" s="749"/>
      <c r="F93" s="749"/>
      <c r="G93" s="749"/>
      <c r="H93" s="749"/>
      <c r="I93" s="749"/>
      <c r="J93" s="749"/>
      <c r="K93" s="749"/>
      <c r="L93" s="749"/>
      <c r="M93" s="180"/>
      <c r="P93" s="181"/>
      <c r="Q93" s="181"/>
      <c r="R93" s="181"/>
      <c r="S93" s="181"/>
      <c r="T93" s="181"/>
      <c r="U93" s="181"/>
      <c r="V93" s="181"/>
      <c r="W93" s="181"/>
      <c r="X93" s="181"/>
      <c r="Y93" s="181"/>
      <c r="Z93" s="33"/>
      <c r="AA93" s="815" t="s">
        <v>21</v>
      </c>
      <c r="AB93" s="816"/>
      <c r="AC93" s="816"/>
      <c r="AD93" s="816"/>
      <c r="AE93" s="816"/>
      <c r="AF93" s="816"/>
      <c r="AG93" s="816"/>
      <c r="AH93" s="816"/>
      <c r="AI93" s="816"/>
      <c r="AJ93" s="816"/>
      <c r="AK93" s="817"/>
      <c r="AL93" s="180"/>
      <c r="AM93" s="815" t="s">
        <v>21</v>
      </c>
      <c r="AN93" s="816"/>
      <c r="AO93" s="816"/>
      <c r="AP93" s="816"/>
      <c r="AQ93" s="816"/>
      <c r="AR93" s="816"/>
      <c r="AS93" s="816"/>
      <c r="AT93" s="816"/>
      <c r="AU93" s="816"/>
      <c r="AV93" s="816"/>
      <c r="AW93" s="817"/>
      <c r="AY93" s="182">
        <f t="shared" si="77"/>
        <v>0</v>
      </c>
    </row>
    <row r="94" spans="1:54" ht="30.75" customHeight="1">
      <c r="A94" s="746"/>
      <c r="B94" s="748"/>
      <c r="C94" s="235" t="s">
        <v>22</v>
      </c>
      <c r="D94" s="224" t="s">
        <v>130</v>
      </c>
      <c r="E94" s="753" t="e">
        <f>'расчет по услугам'!#REF!</f>
        <v>#REF!</v>
      </c>
      <c r="F94" s="753"/>
      <c r="G94" s="191">
        <v>1</v>
      </c>
      <c r="H94" s="192" t="e">
        <f>F94*G94/#REF!</f>
        <v>#REF!</v>
      </c>
      <c r="I94" s="316">
        <v>40000</v>
      </c>
      <c r="J94" s="311"/>
      <c r="K94" s="195" t="e">
        <f>H94*I94</f>
        <v>#REF!</v>
      </c>
      <c r="L94" s="205"/>
      <c r="M94" s="274"/>
      <c r="Q94" s="167" t="s">
        <v>22</v>
      </c>
      <c r="R94" s="167" t="s">
        <v>29</v>
      </c>
      <c r="S94" s="169">
        <f>1/2/149*T94</f>
        <v>0.16107382550335569</v>
      </c>
      <c r="T94" s="157">
        <v>48</v>
      </c>
      <c r="U94" s="158">
        <v>1</v>
      </c>
      <c r="V94" s="170">
        <f>S94*U94/T94</f>
        <v>3.3557046979865771E-3</v>
      </c>
      <c r="W94" s="183">
        <v>40000</v>
      </c>
      <c r="X94" s="177"/>
      <c r="Y94" s="46">
        <f>V94*W94</f>
        <v>134.2281879194631</v>
      </c>
      <c r="AA94" s="41">
        <v>1</v>
      </c>
      <c r="AB94" s="167" t="s">
        <v>22</v>
      </c>
      <c r="AC94" s="167" t="s">
        <v>29</v>
      </c>
      <c r="AD94" s="169">
        <f>1/2/149*AE94</f>
        <v>0.33892617449664431</v>
      </c>
      <c r="AE94" s="157">
        <v>101</v>
      </c>
      <c r="AF94" s="158">
        <v>1</v>
      </c>
      <c r="AG94" s="170">
        <f t="shared" ref="AG94:AG97" si="78">AD94*AF94/AE94</f>
        <v>3.3557046979865771E-3</v>
      </c>
      <c r="AH94" s="183">
        <v>40000</v>
      </c>
      <c r="AI94" s="177"/>
      <c r="AJ94" s="46">
        <f>AG94*AH94</f>
        <v>134.2281879194631</v>
      </c>
      <c r="AK94" s="27"/>
      <c r="AL94" s="153"/>
      <c r="AM94" s="41">
        <v>1</v>
      </c>
      <c r="AN94" s="167" t="s">
        <v>22</v>
      </c>
      <c r="AO94" s="167" t="s">
        <v>29</v>
      </c>
      <c r="AP94" s="184">
        <v>0.5</v>
      </c>
      <c r="AQ94" s="157">
        <v>149</v>
      </c>
      <c r="AR94" s="158">
        <v>1</v>
      </c>
      <c r="AS94" s="170">
        <f t="shared" ref="AS94:AS97" si="79">AP94*AR94/AQ94</f>
        <v>3.3557046979865771E-3</v>
      </c>
      <c r="AT94" s="183">
        <v>40000</v>
      </c>
      <c r="AU94" s="177"/>
      <c r="AV94" s="46">
        <f>AS94*AT94</f>
        <v>134.2281879194631</v>
      </c>
      <c r="AW94" s="27"/>
      <c r="AY94" s="17">
        <f>AJ94*149</f>
        <v>20000</v>
      </c>
      <c r="BA94" s="5">
        <f>AP94*AT94</f>
        <v>20000</v>
      </c>
    </row>
    <row r="95" spans="1:54" ht="39" hidden="1" customHeight="1">
      <c r="A95" s="746"/>
      <c r="B95" s="748"/>
      <c r="C95" s="235"/>
      <c r="D95" s="224"/>
      <c r="E95" s="753"/>
      <c r="F95" s="753"/>
      <c r="G95" s="191">
        <v>1</v>
      </c>
      <c r="H95" s="192" t="e">
        <f>F95*G95/#REF!</f>
        <v>#REF!</v>
      </c>
      <c r="I95" s="316">
        <v>60000</v>
      </c>
      <c r="J95" s="311"/>
      <c r="K95" s="195" t="e">
        <f>H95*I95</f>
        <v>#REF!</v>
      </c>
      <c r="L95" s="205"/>
      <c r="M95" s="274"/>
      <c r="Q95" s="167" t="s">
        <v>24</v>
      </c>
      <c r="R95" s="167" t="s">
        <v>231</v>
      </c>
      <c r="S95" s="184">
        <f>1/149*T95</f>
        <v>0.32214765100671139</v>
      </c>
      <c r="T95" s="157">
        <v>48</v>
      </c>
      <c r="U95" s="158">
        <v>1</v>
      </c>
      <c r="V95" s="170">
        <f t="shared" ref="V95:V97" si="80">S95*U95/T95</f>
        <v>6.7114093959731542E-3</v>
      </c>
      <c r="W95" s="183">
        <v>60000</v>
      </c>
      <c r="X95" s="177"/>
      <c r="Y95" s="46">
        <f>V95*W95</f>
        <v>402.68456375838923</v>
      </c>
      <c r="AA95" s="41">
        <v>2</v>
      </c>
      <c r="AB95" s="167" t="s">
        <v>24</v>
      </c>
      <c r="AC95" s="167" t="s">
        <v>231</v>
      </c>
      <c r="AD95" s="184">
        <f>1/149*AE95</f>
        <v>0.67785234899328861</v>
      </c>
      <c r="AE95" s="157">
        <v>101</v>
      </c>
      <c r="AF95" s="158">
        <v>1</v>
      </c>
      <c r="AG95" s="170">
        <f t="shared" si="78"/>
        <v>6.7114093959731542E-3</v>
      </c>
      <c r="AH95" s="183">
        <v>60000</v>
      </c>
      <c r="AI95" s="177"/>
      <c r="AJ95" s="46">
        <f>AG95*AH95</f>
        <v>402.68456375838923</v>
      </c>
      <c r="AK95" s="27"/>
      <c r="AL95" s="153"/>
      <c r="AM95" s="41">
        <v>2</v>
      </c>
      <c r="AN95" s="167" t="s">
        <v>24</v>
      </c>
      <c r="AO95" s="167" t="s">
        <v>231</v>
      </c>
      <c r="AP95" s="184">
        <v>0</v>
      </c>
      <c r="AQ95" s="157">
        <v>149</v>
      </c>
      <c r="AR95" s="158">
        <v>1</v>
      </c>
      <c r="AS95" s="170">
        <f t="shared" si="79"/>
        <v>0</v>
      </c>
      <c r="AT95" s="183">
        <v>60000</v>
      </c>
      <c r="AU95" s="177"/>
      <c r="AV95" s="46">
        <f>AS95*AT95</f>
        <v>0</v>
      </c>
      <c r="AW95" s="27"/>
      <c r="AY95" s="17">
        <f>AJ95*149</f>
        <v>59999.999999999993</v>
      </c>
      <c r="BA95" s="5">
        <f t="shared" ref="BA95:BA97" si="81">AP95*AT95</f>
        <v>0</v>
      </c>
    </row>
    <row r="96" spans="1:54" ht="15" hidden="1" customHeight="1">
      <c r="A96" s="746"/>
      <c r="B96" s="748"/>
      <c r="C96" s="235"/>
      <c r="D96" s="224" t="s">
        <v>130</v>
      </c>
      <c r="E96" s="753">
        <f>'[1]расчет свод'!S88</f>
        <v>5.1546391752577319E-3</v>
      </c>
      <c r="F96" s="753"/>
      <c r="G96" s="191">
        <v>1</v>
      </c>
      <c r="H96" s="192" t="e">
        <f>F96*G96/#REF!</f>
        <v>#REF!</v>
      </c>
      <c r="I96" s="317"/>
      <c r="J96" s="311"/>
      <c r="K96" s="195" t="e">
        <f>H96*I96</f>
        <v>#REF!</v>
      </c>
      <c r="L96" s="205"/>
      <c r="M96" s="274"/>
      <c r="Q96" s="167"/>
      <c r="R96" s="154"/>
      <c r="S96" s="184">
        <f t="shared" ref="S96" si="82">1*0.5</f>
        <v>0.5</v>
      </c>
      <c r="T96" s="157">
        <v>135</v>
      </c>
      <c r="U96" s="158">
        <v>1</v>
      </c>
      <c r="V96" s="170">
        <f t="shared" si="80"/>
        <v>3.7037037037037038E-3</v>
      </c>
      <c r="W96" s="185"/>
      <c r="X96" s="177"/>
      <c r="Y96" s="46">
        <f>V96*W96</f>
        <v>0</v>
      </c>
      <c r="AA96" s="41"/>
      <c r="AB96" s="167"/>
      <c r="AC96" s="154"/>
      <c r="AD96" s="184">
        <f t="shared" ref="AD96" si="83">1*0.5</f>
        <v>0.5</v>
      </c>
      <c r="AE96" s="157">
        <v>135</v>
      </c>
      <c r="AF96" s="158">
        <v>1</v>
      </c>
      <c r="AG96" s="170">
        <f t="shared" si="78"/>
        <v>3.7037037037037038E-3</v>
      </c>
      <c r="AH96" s="185"/>
      <c r="AI96" s="177"/>
      <c r="AJ96" s="46">
        <f>AG96*AH96</f>
        <v>0</v>
      </c>
      <c r="AK96" s="27"/>
      <c r="AL96" s="153"/>
      <c r="AM96" s="41"/>
      <c r="AN96" s="167"/>
      <c r="AO96" s="154"/>
      <c r="AP96" s="184">
        <f t="shared" ref="AP96:AP97" si="84">1*0.5</f>
        <v>0.5</v>
      </c>
      <c r="AQ96" s="157">
        <v>135</v>
      </c>
      <c r="AR96" s="158">
        <v>1</v>
      </c>
      <c r="AS96" s="170">
        <f t="shared" si="79"/>
        <v>3.7037037037037038E-3</v>
      </c>
      <c r="AT96" s="185"/>
      <c r="AU96" s="177"/>
      <c r="AV96" s="46">
        <f>AS96*AT96</f>
        <v>0</v>
      </c>
      <c r="AW96" s="27"/>
      <c r="AY96" s="17">
        <f t="shared" si="77"/>
        <v>0</v>
      </c>
      <c r="BA96" s="5">
        <f t="shared" si="81"/>
        <v>0</v>
      </c>
    </row>
    <row r="97" spans="1:55" ht="45" customHeight="1">
      <c r="A97" s="746"/>
      <c r="B97" s="748"/>
      <c r="C97" s="235" t="s">
        <v>25</v>
      </c>
      <c r="D97" s="224" t="s">
        <v>130</v>
      </c>
      <c r="E97" s="753" t="e">
        <f>'расчет по услугам'!#REF!</f>
        <v>#REF!</v>
      </c>
      <c r="F97" s="753"/>
      <c r="G97" s="191">
        <v>1</v>
      </c>
      <c r="H97" s="192" t="e">
        <f>F97*G97/#REF!</f>
        <v>#REF!</v>
      </c>
      <c r="I97" s="316">
        <v>600</v>
      </c>
      <c r="J97" s="311"/>
      <c r="K97" s="195" t="e">
        <f>H97*I97</f>
        <v>#REF!</v>
      </c>
      <c r="L97" s="205"/>
      <c r="M97" s="275"/>
      <c r="Q97" s="167" t="s">
        <v>25</v>
      </c>
      <c r="R97" s="155" t="s">
        <v>95</v>
      </c>
      <c r="S97" s="169">
        <f>1/2/149*T97</f>
        <v>0.16107382550335569</v>
      </c>
      <c r="T97" s="157">
        <v>48</v>
      </c>
      <c r="U97" s="158">
        <v>1</v>
      </c>
      <c r="V97" s="170">
        <f t="shared" si="80"/>
        <v>3.3557046979865771E-3</v>
      </c>
      <c r="W97" s="183">
        <v>600</v>
      </c>
      <c r="X97" s="177"/>
      <c r="Y97" s="46">
        <f>V97*W97</f>
        <v>2.0134228187919461</v>
      </c>
      <c r="AA97" s="8">
        <v>3</v>
      </c>
      <c r="AB97" s="167" t="s">
        <v>25</v>
      </c>
      <c r="AC97" s="155" t="s">
        <v>95</v>
      </c>
      <c r="AD97" s="169">
        <f>1/2/149*AE97</f>
        <v>0.33892617449664431</v>
      </c>
      <c r="AE97" s="157">
        <v>101</v>
      </c>
      <c r="AF97" s="158">
        <v>1</v>
      </c>
      <c r="AG97" s="170">
        <f t="shared" si="78"/>
        <v>3.3557046979865771E-3</v>
      </c>
      <c r="AH97" s="183">
        <v>600</v>
      </c>
      <c r="AI97" s="177"/>
      <c r="AJ97" s="46">
        <f>AG97*AH97</f>
        <v>2.0134228187919461</v>
      </c>
      <c r="AK97" s="27"/>
      <c r="AL97" s="162"/>
      <c r="AM97" s="8">
        <v>3</v>
      </c>
      <c r="AN97" s="167" t="s">
        <v>25</v>
      </c>
      <c r="AO97" s="155" t="s">
        <v>95</v>
      </c>
      <c r="AP97" s="184">
        <f t="shared" si="84"/>
        <v>0.5</v>
      </c>
      <c r="AQ97" s="157">
        <v>149</v>
      </c>
      <c r="AR97" s="158">
        <v>1</v>
      </c>
      <c r="AS97" s="170">
        <f t="shared" si="79"/>
        <v>3.3557046979865771E-3</v>
      </c>
      <c r="AT97" s="183">
        <v>600</v>
      </c>
      <c r="AU97" s="177"/>
      <c r="AV97" s="46">
        <f>AS97*AT97</f>
        <v>2.0134228187919461</v>
      </c>
      <c r="AW97" s="27"/>
      <c r="AY97" s="17">
        <f>AJ97*149</f>
        <v>299.99999999999994</v>
      </c>
      <c r="BA97" s="5">
        <f t="shared" si="81"/>
        <v>300</v>
      </c>
    </row>
    <row r="98" spans="1:55" ht="15.75" hidden="1" customHeight="1" thickBot="1">
      <c r="A98" s="746"/>
      <c r="B98" s="748"/>
      <c r="C98" s="810"/>
      <c r="D98" s="810"/>
      <c r="E98" s="810"/>
      <c r="F98" s="810"/>
      <c r="G98" s="810"/>
      <c r="H98" s="810"/>
      <c r="I98" s="810"/>
      <c r="J98" s="810"/>
      <c r="K98" s="246" t="e">
        <f>SUM(K94:K97)</f>
        <v>#REF!</v>
      </c>
      <c r="L98" s="205"/>
      <c r="M98" s="275"/>
      <c r="Q98" s="68"/>
      <c r="R98" s="68"/>
      <c r="S98" s="68"/>
      <c r="T98" s="68"/>
      <c r="U98" s="68"/>
      <c r="V98" s="68"/>
      <c r="W98" s="68"/>
      <c r="X98" s="68"/>
      <c r="Y98" s="175">
        <f>SUM(Y94:Y97)</f>
        <v>538.92617449664431</v>
      </c>
      <c r="AA98" s="811" t="s">
        <v>27</v>
      </c>
      <c r="AB98" s="812"/>
      <c r="AC98" s="812"/>
      <c r="AD98" s="812"/>
      <c r="AE98" s="812"/>
      <c r="AF98" s="812"/>
      <c r="AG98" s="812"/>
      <c r="AH98" s="812"/>
      <c r="AI98" s="813"/>
      <c r="AJ98" s="175">
        <f>SUM(AJ94:AJ97)</f>
        <v>538.92617449664431</v>
      </c>
      <c r="AK98" s="27"/>
      <c r="AL98" s="162"/>
      <c r="AM98" s="811" t="s">
        <v>27</v>
      </c>
      <c r="AN98" s="812"/>
      <c r="AO98" s="812"/>
      <c r="AP98" s="812"/>
      <c r="AQ98" s="812"/>
      <c r="AR98" s="812"/>
      <c r="AS98" s="812"/>
      <c r="AT98" s="812"/>
      <c r="AU98" s="813"/>
      <c r="AV98" s="175">
        <f>SUM(AV94:AV97)</f>
        <v>136.24161073825505</v>
      </c>
      <c r="AW98" s="27"/>
      <c r="AY98" s="175">
        <f>AY94+AY95+AY97</f>
        <v>80300</v>
      </c>
      <c r="AZ98" s="5">
        <v>100600</v>
      </c>
      <c r="BA98" s="186">
        <f>SUM(BA94:BA97)</f>
        <v>20300</v>
      </c>
      <c r="BB98" s="95">
        <f>AY98+BA98</f>
        <v>100600</v>
      </c>
      <c r="BC98" s="5">
        <v>221</v>
      </c>
    </row>
    <row r="99" spans="1:55" s="55" customFormat="1" ht="24" customHeight="1">
      <c r="A99" s="746"/>
      <c r="B99" s="748"/>
      <c r="C99" s="749" t="s">
        <v>26</v>
      </c>
      <c r="D99" s="749"/>
      <c r="E99" s="749"/>
      <c r="F99" s="749"/>
      <c r="G99" s="749"/>
      <c r="H99" s="749"/>
      <c r="I99" s="749"/>
      <c r="J99" s="749"/>
      <c r="K99" s="749"/>
      <c r="L99" s="749"/>
      <c r="M99" s="180"/>
      <c r="P99" s="181"/>
      <c r="Q99" s="181"/>
      <c r="R99" s="181"/>
      <c r="S99" s="181"/>
      <c r="T99" s="181"/>
      <c r="U99" s="181"/>
      <c r="V99" s="181"/>
      <c r="W99" s="181"/>
      <c r="X99" s="181"/>
      <c r="Y99" s="181"/>
      <c r="Z99" s="33"/>
      <c r="AA99" s="815" t="s">
        <v>26</v>
      </c>
      <c r="AB99" s="816"/>
      <c r="AC99" s="816"/>
      <c r="AD99" s="816"/>
      <c r="AE99" s="816"/>
      <c r="AF99" s="816"/>
      <c r="AG99" s="816"/>
      <c r="AH99" s="816"/>
      <c r="AI99" s="816"/>
      <c r="AJ99" s="816"/>
      <c r="AK99" s="817"/>
      <c r="AL99" s="180"/>
      <c r="AM99" s="815" t="s">
        <v>26</v>
      </c>
      <c r="AN99" s="816"/>
      <c r="AO99" s="816"/>
      <c r="AP99" s="816"/>
      <c r="AQ99" s="816"/>
      <c r="AR99" s="816"/>
      <c r="AS99" s="816"/>
      <c r="AT99" s="816"/>
      <c r="AU99" s="816"/>
      <c r="AV99" s="816"/>
      <c r="AW99" s="817"/>
      <c r="AY99" s="182">
        <f t="shared" si="77"/>
        <v>0</v>
      </c>
      <c r="AZ99" s="187">
        <f>AY98+BA98</f>
        <v>100600</v>
      </c>
    </row>
    <row r="100" spans="1:55" ht="39" customHeight="1">
      <c r="A100" s="746"/>
      <c r="B100" s="748"/>
      <c r="C100" s="235" t="s">
        <v>94</v>
      </c>
      <c r="D100" s="235" t="s">
        <v>30</v>
      </c>
      <c r="E100" s="753" t="e">
        <f>'расчет по услугам'!#REF!</f>
        <v>#REF!</v>
      </c>
      <c r="F100" s="753"/>
      <c r="G100" s="191">
        <v>1</v>
      </c>
      <c r="H100" s="318" t="e">
        <f>F100*G100/#REF!</f>
        <v>#REF!</v>
      </c>
      <c r="I100" s="316">
        <v>25000</v>
      </c>
      <c r="J100" s="194"/>
      <c r="K100" s="195" t="e">
        <f>H100*I100</f>
        <v>#REF!</v>
      </c>
      <c r="L100" s="205"/>
      <c r="M100" s="274"/>
      <c r="Q100" s="167" t="s">
        <v>94</v>
      </c>
      <c r="R100" s="167" t="s">
        <v>30</v>
      </c>
      <c r="S100" s="184">
        <f>1/149*T100</f>
        <v>0.32214765100671139</v>
      </c>
      <c r="T100" s="157">
        <v>48</v>
      </c>
      <c r="U100" s="158">
        <v>1</v>
      </c>
      <c r="V100" s="170">
        <f>S100*U100/T100</f>
        <v>6.7114093959731542E-3</v>
      </c>
      <c r="W100" s="183">
        <v>25000</v>
      </c>
      <c r="X100" s="30"/>
      <c r="Y100" s="46">
        <f>V100*W100</f>
        <v>167.78523489932886</v>
      </c>
      <c r="AA100" s="41">
        <v>1</v>
      </c>
      <c r="AB100" s="167" t="s">
        <v>94</v>
      </c>
      <c r="AC100" s="167" t="s">
        <v>30</v>
      </c>
      <c r="AD100" s="184">
        <f>1/149*AE100</f>
        <v>0.67785234899328861</v>
      </c>
      <c r="AE100" s="157">
        <v>101</v>
      </c>
      <c r="AF100" s="158">
        <v>1</v>
      </c>
      <c r="AG100" s="170">
        <f>AD100*AF100/AE100</f>
        <v>6.7114093959731542E-3</v>
      </c>
      <c r="AH100" s="183">
        <v>25000</v>
      </c>
      <c r="AI100" s="30"/>
      <c r="AJ100" s="46">
        <f>AG100*AH100</f>
        <v>167.78523489932886</v>
      </c>
      <c r="AK100" s="27"/>
      <c r="AL100" s="153"/>
      <c r="AM100" s="41">
        <v>1</v>
      </c>
      <c r="AN100" s="167" t="s">
        <v>94</v>
      </c>
      <c r="AO100" s="167" t="s">
        <v>30</v>
      </c>
      <c r="AP100" s="184">
        <f>2*0.5</f>
        <v>1</v>
      </c>
      <c r="AQ100" s="157">
        <v>149</v>
      </c>
      <c r="AR100" s="158">
        <v>1</v>
      </c>
      <c r="AS100" s="170">
        <f>AP100*AR100/AQ100</f>
        <v>6.7114093959731542E-3</v>
      </c>
      <c r="AT100" s="183">
        <v>25000</v>
      </c>
      <c r="AU100" s="30"/>
      <c r="AV100" s="46">
        <f>AS100*AT100</f>
        <v>167.78523489932886</v>
      </c>
      <c r="AW100" s="27"/>
      <c r="AY100" s="17">
        <f>AJ100*149</f>
        <v>25000</v>
      </c>
      <c r="BA100" s="5">
        <f t="shared" ref="BA100" si="85">AP100*AT100</f>
        <v>25000</v>
      </c>
    </row>
    <row r="101" spans="1:55" ht="15.75" hidden="1" customHeight="1" thickBot="1">
      <c r="A101" s="746"/>
      <c r="B101" s="748"/>
      <c r="C101" s="821"/>
      <c r="D101" s="821"/>
      <c r="E101" s="821"/>
      <c r="F101" s="821"/>
      <c r="G101" s="821"/>
      <c r="H101" s="821"/>
      <c r="I101" s="821"/>
      <c r="J101" s="821"/>
      <c r="K101" s="246" t="e">
        <f>SUM(K100:K100)</f>
        <v>#REF!</v>
      </c>
      <c r="L101" s="205"/>
      <c r="M101" s="275"/>
      <c r="Q101" s="68"/>
      <c r="R101" s="68"/>
      <c r="S101" s="68"/>
      <c r="T101" s="68"/>
      <c r="U101" s="68"/>
      <c r="V101" s="68"/>
      <c r="W101" s="68"/>
      <c r="X101" s="68"/>
      <c r="Y101" s="175">
        <f>SUM(Y100:Y100)</f>
        <v>167.78523489932886</v>
      </c>
      <c r="AA101" s="811" t="s">
        <v>27</v>
      </c>
      <c r="AB101" s="812"/>
      <c r="AC101" s="812"/>
      <c r="AD101" s="812"/>
      <c r="AE101" s="812"/>
      <c r="AF101" s="812"/>
      <c r="AG101" s="812"/>
      <c r="AH101" s="812"/>
      <c r="AI101" s="813"/>
      <c r="AJ101" s="175">
        <f>SUM(AJ100:AJ100)</f>
        <v>167.78523489932886</v>
      </c>
      <c r="AK101" s="27"/>
      <c r="AL101" s="162"/>
      <c r="AM101" s="811" t="s">
        <v>27</v>
      </c>
      <c r="AN101" s="812"/>
      <c r="AO101" s="812"/>
      <c r="AP101" s="812"/>
      <c r="AQ101" s="812"/>
      <c r="AR101" s="812"/>
      <c r="AS101" s="812"/>
      <c r="AT101" s="812"/>
      <c r="AU101" s="813"/>
      <c r="AV101" s="175">
        <f>SUM(AV100:AV100)</f>
        <v>167.78523489932886</v>
      </c>
      <c r="AW101" s="27"/>
      <c r="AY101" s="175">
        <f>SUM(AY100:AY100)</f>
        <v>25000</v>
      </c>
      <c r="BA101" s="175">
        <f>SUM(BA100:BA100)</f>
        <v>25000</v>
      </c>
      <c r="BB101" s="188">
        <f>AY101+BA101</f>
        <v>50000</v>
      </c>
      <c r="BC101" s="5">
        <v>222</v>
      </c>
    </row>
    <row r="102" spans="1:55" ht="43.5" customHeight="1">
      <c r="A102" s="746"/>
      <c r="B102" s="748"/>
      <c r="C102" s="822" t="s">
        <v>66</v>
      </c>
      <c r="D102" s="822"/>
      <c r="E102" s="822"/>
      <c r="F102" s="822"/>
      <c r="G102" s="822"/>
      <c r="H102" s="822"/>
      <c r="I102" s="822"/>
      <c r="J102" s="822"/>
      <c r="K102" s="822"/>
      <c r="L102" s="822"/>
      <c r="M102" s="189"/>
      <c r="Q102" s="68"/>
      <c r="R102" s="68"/>
      <c r="S102" s="68"/>
      <c r="T102" s="68"/>
      <c r="U102" s="68"/>
      <c r="V102" s="68"/>
      <c r="W102" s="68"/>
      <c r="X102" s="68"/>
      <c r="Y102" s="68"/>
      <c r="AA102" s="818" t="s">
        <v>66</v>
      </c>
      <c r="AB102" s="819"/>
      <c r="AC102" s="819"/>
      <c r="AD102" s="819"/>
      <c r="AE102" s="819"/>
      <c r="AF102" s="819"/>
      <c r="AG102" s="819"/>
      <c r="AH102" s="819"/>
      <c r="AI102" s="819"/>
      <c r="AJ102" s="819"/>
      <c r="AK102" s="820"/>
      <c r="AL102" s="189"/>
      <c r="AM102" s="818" t="s">
        <v>66</v>
      </c>
      <c r="AN102" s="819"/>
      <c r="AO102" s="819"/>
      <c r="AP102" s="819"/>
      <c r="AQ102" s="819"/>
      <c r="AR102" s="819"/>
      <c r="AS102" s="819"/>
      <c r="AT102" s="819"/>
      <c r="AU102" s="819"/>
      <c r="AV102" s="819"/>
      <c r="AW102" s="820"/>
      <c r="AY102" s="17">
        <f t="shared" ref="AY102" si="86">AJ102*443052</f>
        <v>0</v>
      </c>
    </row>
    <row r="103" spans="1:55" ht="43.5" customHeight="1">
      <c r="A103" s="746"/>
      <c r="B103" s="748"/>
      <c r="C103" s="263" t="e">
        <f>'расчет по услугам'!#REF!</f>
        <v>#REF!</v>
      </c>
      <c r="D103" s="190" t="s">
        <v>192</v>
      </c>
      <c r="E103" s="753" t="e">
        <f>'расчет по услугам'!#REF!</f>
        <v>#REF!</v>
      </c>
      <c r="F103" s="753"/>
      <c r="G103" s="262"/>
      <c r="H103" s="262"/>
      <c r="I103" s="262"/>
      <c r="J103" s="262"/>
      <c r="K103" s="262"/>
      <c r="L103" s="262"/>
      <c r="M103" s="189"/>
      <c r="Q103" s="68"/>
      <c r="R103" s="68"/>
      <c r="S103" s="68"/>
      <c r="T103" s="68"/>
      <c r="U103" s="68"/>
      <c r="V103" s="68"/>
      <c r="W103" s="68"/>
      <c r="X103" s="68"/>
      <c r="Y103" s="68"/>
      <c r="AA103" s="59"/>
      <c r="AB103" s="36"/>
      <c r="AC103" s="60"/>
      <c r="AD103" s="60"/>
      <c r="AE103" s="60"/>
      <c r="AF103" s="60"/>
      <c r="AG103" s="60"/>
      <c r="AH103" s="60"/>
      <c r="AI103" s="60"/>
      <c r="AJ103" s="60"/>
      <c r="AK103" s="61"/>
      <c r="AL103" s="189"/>
      <c r="AM103" s="59"/>
      <c r="AN103" s="36"/>
      <c r="AO103" s="60"/>
      <c r="AP103" s="60"/>
      <c r="AQ103" s="60"/>
      <c r="AR103" s="60"/>
      <c r="AS103" s="60"/>
      <c r="AT103" s="60"/>
      <c r="AU103" s="60"/>
      <c r="AV103" s="60"/>
      <c r="AW103" s="61"/>
      <c r="AY103" s="17"/>
    </row>
    <row r="104" spans="1:55" ht="43.5" customHeight="1">
      <c r="A104" s="746"/>
      <c r="B104" s="748"/>
      <c r="C104" s="263" t="e">
        <f>'расчет по услугам'!#REF!</f>
        <v>#REF!</v>
      </c>
      <c r="D104" s="190" t="s">
        <v>192</v>
      </c>
      <c r="E104" s="753" t="e">
        <f>'расчет по услугам'!#REF!</f>
        <v>#REF!</v>
      </c>
      <c r="F104" s="753"/>
      <c r="G104" s="262"/>
      <c r="H104" s="262"/>
      <c r="I104" s="262"/>
      <c r="J104" s="262"/>
      <c r="K104" s="262"/>
      <c r="L104" s="262"/>
      <c r="M104" s="189"/>
      <c r="Q104" s="68"/>
      <c r="R104" s="68"/>
      <c r="S104" s="68"/>
      <c r="T104" s="68"/>
      <c r="U104" s="68"/>
      <c r="V104" s="68"/>
      <c r="W104" s="68"/>
      <c r="X104" s="68"/>
      <c r="Y104" s="68"/>
      <c r="AA104" s="59"/>
      <c r="AB104" s="36"/>
      <c r="AC104" s="60"/>
      <c r="AD104" s="60"/>
      <c r="AE104" s="60"/>
      <c r="AF104" s="60"/>
      <c r="AG104" s="60"/>
      <c r="AH104" s="60"/>
      <c r="AI104" s="60"/>
      <c r="AJ104" s="60"/>
      <c r="AK104" s="61"/>
      <c r="AL104" s="189"/>
      <c r="AM104" s="59"/>
      <c r="AN104" s="36"/>
      <c r="AO104" s="60"/>
      <c r="AP104" s="60"/>
      <c r="AQ104" s="60"/>
      <c r="AR104" s="60"/>
      <c r="AS104" s="60"/>
      <c r="AT104" s="60"/>
      <c r="AU104" s="60"/>
      <c r="AV104" s="60"/>
      <c r="AW104" s="61"/>
      <c r="AY104" s="17"/>
    </row>
    <row r="105" spans="1:55" ht="43.5" hidden="1" customHeight="1">
      <c r="A105" s="746"/>
      <c r="B105" s="748"/>
      <c r="C105" s="263" t="e">
        <f>'расчет по услугам'!#REF!</f>
        <v>#REF!</v>
      </c>
      <c r="D105" s="190" t="s">
        <v>192</v>
      </c>
      <c r="E105" s="753" t="e">
        <f>'расчет по услугам'!#REF!</f>
        <v>#REF!</v>
      </c>
      <c r="F105" s="753"/>
      <c r="G105" s="262"/>
      <c r="H105" s="262"/>
      <c r="I105" s="262"/>
      <c r="J105" s="262"/>
      <c r="K105" s="262"/>
      <c r="L105" s="262"/>
      <c r="M105" s="189"/>
      <c r="Q105" s="68"/>
      <c r="R105" s="68"/>
      <c r="S105" s="68"/>
      <c r="T105" s="68"/>
      <c r="U105" s="68"/>
      <c r="V105" s="68"/>
      <c r="W105" s="68"/>
      <c r="X105" s="68"/>
      <c r="Y105" s="68"/>
      <c r="AA105" s="59"/>
      <c r="AB105" s="36"/>
      <c r="AC105" s="60"/>
      <c r="AD105" s="60"/>
      <c r="AE105" s="60"/>
      <c r="AF105" s="60"/>
      <c r="AG105" s="60"/>
      <c r="AH105" s="60"/>
      <c r="AI105" s="60"/>
      <c r="AJ105" s="60"/>
      <c r="AK105" s="61"/>
      <c r="AL105" s="189"/>
      <c r="AM105" s="59"/>
      <c r="AN105" s="36"/>
      <c r="AO105" s="60"/>
      <c r="AP105" s="60"/>
      <c r="AQ105" s="60"/>
      <c r="AR105" s="60"/>
      <c r="AS105" s="60"/>
      <c r="AT105" s="60"/>
      <c r="AU105" s="60"/>
      <c r="AV105" s="60"/>
      <c r="AW105" s="61"/>
      <c r="AY105" s="17"/>
    </row>
    <row r="106" spans="1:55" ht="43.5" hidden="1" customHeight="1">
      <c r="A106" s="746"/>
      <c r="B106" s="748"/>
      <c r="C106" s="263" t="e">
        <f>'расчет по услугам'!#REF!</f>
        <v>#REF!</v>
      </c>
      <c r="D106" s="190" t="s">
        <v>192</v>
      </c>
      <c r="E106" s="753" t="e">
        <f>'расчет по услугам'!#REF!</f>
        <v>#REF!</v>
      </c>
      <c r="F106" s="753"/>
      <c r="G106" s="262"/>
      <c r="H106" s="262"/>
      <c r="I106" s="262"/>
      <c r="J106" s="262"/>
      <c r="K106" s="262"/>
      <c r="L106" s="262"/>
      <c r="M106" s="189"/>
      <c r="Q106" s="68"/>
      <c r="R106" s="68"/>
      <c r="S106" s="68"/>
      <c r="T106" s="68"/>
      <c r="U106" s="68"/>
      <c r="V106" s="68"/>
      <c r="W106" s="68"/>
      <c r="X106" s="68"/>
      <c r="Y106" s="68"/>
      <c r="AA106" s="59"/>
      <c r="AB106" s="36"/>
      <c r="AC106" s="60"/>
      <c r="AD106" s="60"/>
      <c r="AE106" s="60"/>
      <c r="AF106" s="60"/>
      <c r="AG106" s="60"/>
      <c r="AH106" s="60"/>
      <c r="AI106" s="60"/>
      <c r="AJ106" s="60"/>
      <c r="AK106" s="61"/>
      <c r="AL106" s="189"/>
      <c r="AM106" s="59"/>
      <c r="AN106" s="36"/>
      <c r="AO106" s="60"/>
      <c r="AP106" s="60"/>
      <c r="AQ106" s="60"/>
      <c r="AR106" s="60"/>
      <c r="AS106" s="60"/>
      <c r="AT106" s="60"/>
      <c r="AU106" s="60"/>
      <c r="AV106" s="60"/>
      <c r="AW106" s="61"/>
      <c r="AY106" s="17"/>
    </row>
    <row r="107" spans="1:55" ht="43.5" hidden="1" customHeight="1">
      <c r="A107" s="746"/>
      <c r="B107" s="748"/>
      <c r="C107" s="263" t="e">
        <f>'расчет по услугам'!#REF!</f>
        <v>#REF!</v>
      </c>
      <c r="D107" s="190" t="s">
        <v>192</v>
      </c>
      <c r="E107" s="753" t="e">
        <f>'расчет по услугам'!#REF!</f>
        <v>#REF!</v>
      </c>
      <c r="F107" s="753"/>
      <c r="G107" s="262"/>
      <c r="H107" s="262"/>
      <c r="I107" s="262"/>
      <c r="J107" s="262"/>
      <c r="K107" s="262"/>
      <c r="L107" s="262"/>
      <c r="M107" s="189"/>
      <c r="Q107" s="68"/>
      <c r="R107" s="68"/>
      <c r="S107" s="68"/>
      <c r="T107" s="68"/>
      <c r="U107" s="68"/>
      <c r="V107" s="68"/>
      <c r="W107" s="68"/>
      <c r="X107" s="68"/>
      <c r="Y107" s="68"/>
      <c r="AA107" s="59"/>
      <c r="AB107" s="36"/>
      <c r="AC107" s="60"/>
      <c r="AD107" s="60"/>
      <c r="AE107" s="60"/>
      <c r="AF107" s="60"/>
      <c r="AG107" s="60"/>
      <c r="AH107" s="60"/>
      <c r="AI107" s="60"/>
      <c r="AJ107" s="60"/>
      <c r="AK107" s="61"/>
      <c r="AL107" s="189"/>
      <c r="AM107" s="59"/>
      <c r="AN107" s="36"/>
      <c r="AO107" s="60"/>
      <c r="AP107" s="60"/>
      <c r="AQ107" s="60"/>
      <c r="AR107" s="60"/>
      <c r="AS107" s="60"/>
      <c r="AT107" s="60"/>
      <c r="AU107" s="60"/>
      <c r="AV107" s="60"/>
      <c r="AW107" s="61"/>
      <c r="AY107" s="17"/>
    </row>
    <row r="108" spans="1:55" ht="43.5" customHeight="1">
      <c r="A108" s="746"/>
      <c r="B108" s="748"/>
      <c r="C108" s="263" t="e">
        <f>'расчет по услугам'!#REF!</f>
        <v>#REF!</v>
      </c>
      <c r="D108" s="190" t="s">
        <v>192</v>
      </c>
      <c r="E108" s="753" t="e">
        <f>'расчет по услугам'!#REF!</f>
        <v>#REF!</v>
      </c>
      <c r="F108" s="753"/>
      <c r="G108" s="262"/>
      <c r="H108" s="262"/>
      <c r="I108" s="262"/>
      <c r="J108" s="262"/>
      <c r="K108" s="262"/>
      <c r="L108" s="262"/>
      <c r="M108" s="189"/>
      <c r="Q108" s="68"/>
      <c r="R108" s="68"/>
      <c r="S108" s="68"/>
      <c r="T108" s="68"/>
      <c r="U108" s="68"/>
      <c r="V108" s="68"/>
      <c r="W108" s="68"/>
      <c r="X108" s="68"/>
      <c r="Y108" s="68"/>
      <c r="AA108" s="59"/>
      <c r="AB108" s="36"/>
      <c r="AC108" s="60"/>
      <c r="AD108" s="60"/>
      <c r="AE108" s="60"/>
      <c r="AF108" s="60"/>
      <c r="AG108" s="60"/>
      <c r="AH108" s="60"/>
      <c r="AI108" s="60"/>
      <c r="AJ108" s="60"/>
      <c r="AK108" s="61"/>
      <c r="AL108" s="189"/>
      <c r="AM108" s="59"/>
      <c r="AN108" s="36"/>
      <c r="AO108" s="60"/>
      <c r="AP108" s="60"/>
      <c r="AQ108" s="60"/>
      <c r="AR108" s="60"/>
      <c r="AS108" s="60"/>
      <c r="AT108" s="60"/>
      <c r="AU108" s="60"/>
      <c r="AV108" s="60"/>
      <c r="AW108" s="61"/>
      <c r="AY108" s="17"/>
    </row>
    <row r="109" spans="1:55" ht="43.5" hidden="1" customHeight="1">
      <c r="A109" s="746"/>
      <c r="B109" s="748"/>
      <c r="C109" s="263" t="e">
        <f>'расчет по услугам'!#REF!</f>
        <v>#REF!</v>
      </c>
      <c r="D109" s="190" t="s">
        <v>192</v>
      </c>
      <c r="E109" s="753" t="e">
        <f>'расчет по услугам'!#REF!</f>
        <v>#REF!</v>
      </c>
      <c r="F109" s="753"/>
      <c r="G109" s="262"/>
      <c r="H109" s="262"/>
      <c r="I109" s="262"/>
      <c r="J109" s="262"/>
      <c r="K109" s="262"/>
      <c r="L109" s="262"/>
      <c r="M109" s="189"/>
      <c r="Q109" s="68"/>
      <c r="R109" s="68"/>
      <c r="S109" s="68"/>
      <c r="T109" s="68"/>
      <c r="U109" s="68"/>
      <c r="V109" s="68"/>
      <c r="W109" s="68"/>
      <c r="X109" s="68"/>
      <c r="Y109" s="68"/>
      <c r="AA109" s="59"/>
      <c r="AB109" s="36"/>
      <c r="AC109" s="60"/>
      <c r="AD109" s="60"/>
      <c r="AE109" s="60"/>
      <c r="AF109" s="60"/>
      <c r="AG109" s="60"/>
      <c r="AH109" s="60"/>
      <c r="AI109" s="60"/>
      <c r="AJ109" s="60"/>
      <c r="AK109" s="61"/>
      <c r="AL109" s="189"/>
      <c r="AM109" s="59"/>
      <c r="AN109" s="36"/>
      <c r="AO109" s="60"/>
      <c r="AP109" s="60"/>
      <c r="AQ109" s="60"/>
      <c r="AR109" s="60"/>
      <c r="AS109" s="60"/>
      <c r="AT109" s="60"/>
      <c r="AU109" s="60"/>
      <c r="AV109" s="60"/>
      <c r="AW109" s="61"/>
      <c r="AY109" s="17"/>
    </row>
    <row r="110" spans="1:55" s="39" customFormat="1" ht="29.25" customHeight="1">
      <c r="A110" s="746"/>
      <c r="B110" s="748"/>
      <c r="C110" s="263" t="e">
        <f>'расчет по услугам'!#REF!</f>
        <v>#REF!</v>
      </c>
      <c r="D110" s="190" t="s">
        <v>192</v>
      </c>
      <c r="E110" s="753" t="e">
        <f>'расчет по услугам'!#REF!</f>
        <v>#REF!</v>
      </c>
      <c r="F110" s="753"/>
      <c r="G110" s="191">
        <v>1</v>
      </c>
      <c r="H110" s="192" t="e">
        <f>F110*G110/#REF!</f>
        <v>#REF!</v>
      </c>
      <c r="I110" s="193">
        <f>586781*1.302</f>
        <v>763988.86200000008</v>
      </c>
      <c r="J110" s="194"/>
      <c r="K110" s="195" t="e">
        <f>H110*I110</f>
        <v>#REF!</v>
      </c>
      <c r="L110" s="196"/>
      <c r="M110" s="274"/>
      <c r="P110" s="68"/>
      <c r="Q110" s="198" t="s">
        <v>232</v>
      </c>
      <c r="R110" s="167" t="s">
        <v>31</v>
      </c>
      <c r="S110" s="169">
        <f>1/2/149*T110</f>
        <v>0.16107382550335569</v>
      </c>
      <c r="T110" s="157">
        <v>48</v>
      </c>
      <c r="U110" s="158">
        <v>1</v>
      </c>
      <c r="V110" s="170">
        <f>S110*U110/T110</f>
        <v>3.3557046979865771E-3</v>
      </c>
      <c r="W110" s="199">
        <f>586781*1.302</f>
        <v>763988.86200000008</v>
      </c>
      <c r="X110" s="119"/>
      <c r="Y110" s="46">
        <f>V110*W110</f>
        <v>2563.7210134228189</v>
      </c>
      <c r="AA110" s="200">
        <v>1</v>
      </c>
      <c r="AB110" s="198" t="s">
        <v>232</v>
      </c>
      <c r="AC110" s="167" t="s">
        <v>31</v>
      </c>
      <c r="AD110" s="169">
        <f>1/2/149*AE110</f>
        <v>0.33892617449664431</v>
      </c>
      <c r="AE110" s="157">
        <v>101</v>
      </c>
      <c r="AF110" s="158">
        <v>1</v>
      </c>
      <c r="AG110" s="170">
        <f>AD110*AF110/AE110</f>
        <v>3.3557046979865771E-3</v>
      </c>
      <c r="AH110" s="199">
        <f>586781*1.302</f>
        <v>763988.86200000008</v>
      </c>
      <c r="AI110" s="119"/>
      <c r="AJ110" s="46">
        <f>AG110*AH110</f>
        <v>2563.7210134228189</v>
      </c>
      <c r="AK110" s="121"/>
      <c r="AL110" s="153"/>
      <c r="AM110" s="200">
        <v>1</v>
      </c>
      <c r="AN110" s="198" t="s">
        <v>232</v>
      </c>
      <c r="AO110" s="167" t="s">
        <v>31</v>
      </c>
      <c r="AP110" s="201">
        <f>1/2</f>
        <v>0.5</v>
      </c>
      <c r="AQ110" s="157">
        <v>149</v>
      </c>
      <c r="AR110" s="158">
        <v>1</v>
      </c>
      <c r="AS110" s="170">
        <f>AP110*AR110/AQ110</f>
        <v>3.3557046979865771E-3</v>
      </c>
      <c r="AT110" s="199">
        <f>586781*1.302</f>
        <v>763988.86200000008</v>
      </c>
      <c r="AU110" s="119"/>
      <c r="AV110" s="46">
        <f>AS110*AT110</f>
        <v>2563.7210134228189</v>
      </c>
      <c r="AW110" s="121"/>
      <c r="AY110" s="202">
        <f>AJ110*149</f>
        <v>381994.43100000004</v>
      </c>
      <c r="BA110" s="54">
        <f>AV110*149</f>
        <v>381994.43100000004</v>
      </c>
      <c r="BB110" s="203">
        <f>AY110+BA110</f>
        <v>763988.86200000008</v>
      </c>
    </row>
    <row r="111" spans="1:55" s="39" customFormat="1" ht="26.25" customHeight="1">
      <c r="A111" s="746"/>
      <c r="B111" s="748"/>
      <c r="C111" s="263" t="e">
        <f>'расчет по услугам'!#REF!</f>
        <v>#REF!</v>
      </c>
      <c r="D111" s="190" t="s">
        <v>192</v>
      </c>
      <c r="E111" s="753" t="e">
        <f>'расчет по услугам'!#REF!</f>
        <v>#REF!</v>
      </c>
      <c r="F111" s="753"/>
      <c r="G111" s="191">
        <v>1</v>
      </c>
      <c r="H111" s="192" t="e">
        <f>F111*G111/#REF!</f>
        <v>#REF!</v>
      </c>
      <c r="I111" s="193">
        <f>193154*1.302</f>
        <v>251486.508</v>
      </c>
      <c r="J111" s="194"/>
      <c r="K111" s="195" t="e">
        <f t="shared" ref="K111" si="87">H111*I111</f>
        <v>#REF!</v>
      </c>
      <c r="L111" s="196"/>
      <c r="M111" s="274"/>
      <c r="P111" s="68"/>
      <c r="Q111" s="198" t="s">
        <v>233</v>
      </c>
      <c r="R111" s="167" t="s">
        <v>31</v>
      </c>
      <c r="S111" s="169">
        <f>1/2/149*T111</f>
        <v>0.16107382550335569</v>
      </c>
      <c r="T111" s="157">
        <f>T110</f>
        <v>48</v>
      </c>
      <c r="U111" s="158">
        <v>1</v>
      </c>
      <c r="V111" s="170">
        <f t="shared" ref="V111" si="88">S111*U111/T111</f>
        <v>3.3557046979865771E-3</v>
      </c>
      <c r="W111" s="199">
        <f>193154*1.302</f>
        <v>251486.508</v>
      </c>
      <c r="X111" s="119"/>
      <c r="Y111" s="46">
        <f t="shared" ref="Y111" si="89">V111*W111</f>
        <v>843.91445637583888</v>
      </c>
      <c r="AA111" s="200">
        <v>2</v>
      </c>
      <c r="AB111" s="198" t="s">
        <v>233</v>
      </c>
      <c r="AC111" s="167" t="s">
        <v>31</v>
      </c>
      <c r="AD111" s="169">
        <f>1/2/149*AE111</f>
        <v>0.33892617449664431</v>
      </c>
      <c r="AE111" s="157">
        <f>AE110</f>
        <v>101</v>
      </c>
      <c r="AF111" s="158">
        <v>1</v>
      </c>
      <c r="AG111" s="170">
        <f t="shared" ref="AG111" si="90">AD111*AF111/AE111</f>
        <v>3.3557046979865771E-3</v>
      </c>
      <c r="AH111" s="199">
        <f>193154*1.302</f>
        <v>251486.508</v>
      </c>
      <c r="AI111" s="119"/>
      <c r="AJ111" s="46">
        <f t="shared" ref="AJ111:AJ113" si="91">AG111*AH111</f>
        <v>843.91445637583888</v>
      </c>
      <c r="AK111" s="121"/>
      <c r="AL111" s="153"/>
      <c r="AM111" s="200">
        <v>2</v>
      </c>
      <c r="AN111" s="198" t="s">
        <v>233</v>
      </c>
      <c r="AO111" s="167" t="s">
        <v>31</v>
      </c>
      <c r="AP111" s="201">
        <f t="shared" ref="AP111" si="92">1/2</f>
        <v>0.5</v>
      </c>
      <c r="AQ111" s="157">
        <f>AQ110</f>
        <v>149</v>
      </c>
      <c r="AR111" s="158">
        <v>1</v>
      </c>
      <c r="AS111" s="170">
        <f t="shared" ref="AS111" si="93">AP111*AR111/AQ111</f>
        <v>3.3557046979865771E-3</v>
      </c>
      <c r="AT111" s="199">
        <f>193154*1.302</f>
        <v>251486.508</v>
      </c>
      <c r="AU111" s="119"/>
      <c r="AV111" s="46">
        <f t="shared" ref="AV111" si="94">AS111*AT111</f>
        <v>843.91445637583888</v>
      </c>
      <c r="AW111" s="121"/>
      <c r="AY111" s="202">
        <f>AJ111*149</f>
        <v>125743.25399999999</v>
      </c>
      <c r="BA111" s="54">
        <f>AV111*149</f>
        <v>125743.25399999999</v>
      </c>
      <c r="BB111" s="203">
        <f t="shared" ref="BB111:BB112" si="95">AY111+BA111</f>
        <v>251486.50799999997</v>
      </c>
    </row>
    <row r="112" spans="1:55" s="39" customFormat="1" ht="26.25" hidden="1" customHeight="1">
      <c r="A112" s="746"/>
      <c r="B112" s="748"/>
      <c r="C112" s="263" t="e">
        <f>'расчет по услугам'!#REF!</f>
        <v>#REF!</v>
      </c>
      <c r="D112" s="190" t="s">
        <v>192</v>
      </c>
      <c r="E112" s="753" t="e">
        <f>'расчет по услугам'!#REF!</f>
        <v>#REF!</v>
      </c>
      <c r="F112" s="753"/>
      <c r="G112" s="191">
        <v>1</v>
      </c>
      <c r="H112" s="192" t="e">
        <f>F112*G112/#REF!</f>
        <v>#REF!</v>
      </c>
      <c r="I112" s="193">
        <f>178360*1.302</f>
        <v>232224.72</v>
      </c>
      <c r="J112" s="194"/>
      <c r="K112" s="195" t="e">
        <f>H112*I112</f>
        <v>#REF!</v>
      </c>
      <c r="L112" s="196"/>
      <c r="M112" s="274"/>
      <c r="P112" s="68"/>
      <c r="Q112" s="198" t="s">
        <v>234</v>
      </c>
      <c r="R112" s="167" t="s">
        <v>31</v>
      </c>
      <c r="S112" s="169">
        <f>1/2/149*T112</f>
        <v>0.16107382550335569</v>
      </c>
      <c r="T112" s="157">
        <f t="shared" ref="T112:T114" si="96">T111</f>
        <v>48</v>
      </c>
      <c r="U112" s="158">
        <v>1</v>
      </c>
      <c r="V112" s="170">
        <f>S112*U112/T112</f>
        <v>3.3557046979865771E-3</v>
      </c>
      <c r="W112" s="199">
        <f>178360*1.302</f>
        <v>232224.72</v>
      </c>
      <c r="X112" s="119"/>
      <c r="Y112" s="46">
        <f>V112*W112</f>
        <v>779.27758389261749</v>
      </c>
      <c r="AA112" s="200">
        <v>3</v>
      </c>
      <c r="AB112" s="198" t="s">
        <v>234</v>
      </c>
      <c r="AC112" s="167" t="s">
        <v>31</v>
      </c>
      <c r="AD112" s="169">
        <f>1/2/149*AE112</f>
        <v>0.33892617449664431</v>
      </c>
      <c r="AE112" s="157">
        <f t="shared" ref="AE112:AE114" si="97">AE111</f>
        <v>101</v>
      </c>
      <c r="AF112" s="158">
        <v>1</v>
      </c>
      <c r="AG112" s="170">
        <f>AD112*AF112/AE112</f>
        <v>3.3557046979865771E-3</v>
      </c>
      <c r="AH112" s="199">
        <f>178360*1.302</f>
        <v>232224.72</v>
      </c>
      <c r="AI112" s="119"/>
      <c r="AJ112" s="46">
        <f>AG112*AH112</f>
        <v>779.27758389261749</v>
      </c>
      <c r="AK112" s="121"/>
      <c r="AL112" s="153"/>
      <c r="AM112" s="200">
        <v>3</v>
      </c>
      <c r="AN112" s="198" t="s">
        <v>234</v>
      </c>
      <c r="AO112" s="167" t="s">
        <v>31</v>
      </c>
      <c r="AP112" s="201">
        <v>0.5</v>
      </c>
      <c r="AQ112" s="157">
        <f t="shared" ref="AQ112:AQ114" si="98">AQ111</f>
        <v>149</v>
      </c>
      <c r="AR112" s="158">
        <v>1</v>
      </c>
      <c r="AS112" s="170">
        <f>AP112*AR112/AQ112</f>
        <v>3.3557046979865771E-3</v>
      </c>
      <c r="AT112" s="199">
        <f>178360*1.302</f>
        <v>232224.72</v>
      </c>
      <c r="AU112" s="119"/>
      <c r="AV112" s="46">
        <f>AS112*AT112</f>
        <v>779.27758389261749</v>
      </c>
      <c r="AW112" s="121"/>
      <c r="AY112" s="202">
        <f>AJ112*149</f>
        <v>116112.36</v>
      </c>
      <c r="BA112" s="54">
        <f>AV112*149</f>
        <v>116112.36</v>
      </c>
      <c r="BB112" s="203">
        <f t="shared" si="95"/>
        <v>232224.72</v>
      </c>
    </row>
    <row r="113" spans="1:57" ht="33.75" customHeight="1" thickBot="1">
      <c r="A113" s="746"/>
      <c r="B113" s="748"/>
      <c r="C113" s="263" t="e">
        <f>'расчет по услугам'!#REF!</f>
        <v>#REF!</v>
      </c>
      <c r="D113" s="190" t="s">
        <v>192</v>
      </c>
      <c r="E113" s="753" t="e">
        <f>'расчет по услугам'!#REF!</f>
        <v>#REF!</v>
      </c>
      <c r="F113" s="753"/>
      <c r="G113" s="191">
        <v>1</v>
      </c>
      <c r="H113" s="192" t="e">
        <f>F113*G113/#REF!</f>
        <v>#REF!</v>
      </c>
      <c r="I113" s="196">
        <f>217614.28*1.302</f>
        <v>283333.79256000003</v>
      </c>
      <c r="J113" s="204"/>
      <c r="K113" s="195" t="e">
        <f t="shared" ref="K113" si="99">H113*I113</f>
        <v>#REF!</v>
      </c>
      <c r="L113" s="205"/>
      <c r="M113" s="274"/>
      <c r="Q113" s="198" t="s">
        <v>51</v>
      </c>
      <c r="R113" s="167" t="s">
        <v>31</v>
      </c>
      <c r="S113" s="201">
        <f>1.5*0.5/149*T113</f>
        <v>0.24161073825503354</v>
      </c>
      <c r="T113" s="157">
        <f t="shared" si="96"/>
        <v>48</v>
      </c>
      <c r="U113" s="158">
        <v>1</v>
      </c>
      <c r="V113" s="170">
        <f>S113*U113/T113</f>
        <v>5.0335570469798654E-3</v>
      </c>
      <c r="W113" s="121">
        <f>217614.28*1.302</f>
        <v>283333.79256000003</v>
      </c>
      <c r="X113" s="30"/>
      <c r="Y113" s="46">
        <f t="shared" ref="Y113" si="100">V113*W113</f>
        <v>1426.1768081879195</v>
      </c>
      <c r="AA113" s="41">
        <v>4</v>
      </c>
      <c r="AB113" s="198" t="s">
        <v>51</v>
      </c>
      <c r="AC113" s="167" t="s">
        <v>31</v>
      </c>
      <c r="AD113" s="201">
        <f>1.5*0.5/149*AE113</f>
        <v>0.50838926174496646</v>
      </c>
      <c r="AE113" s="157">
        <f t="shared" si="97"/>
        <v>101</v>
      </c>
      <c r="AF113" s="158">
        <v>1</v>
      </c>
      <c r="AG113" s="170">
        <f>AD113*AF113/AE113</f>
        <v>5.0335570469798663E-3</v>
      </c>
      <c r="AH113" s="121">
        <f>217614.28*1.302</f>
        <v>283333.79256000003</v>
      </c>
      <c r="AI113" s="30"/>
      <c r="AJ113" s="46">
        <f t="shared" si="91"/>
        <v>1426.1768081879197</v>
      </c>
      <c r="AK113" s="27"/>
      <c r="AL113" s="153"/>
      <c r="AM113" s="41">
        <v>4</v>
      </c>
      <c r="AN113" s="198" t="s">
        <v>51</v>
      </c>
      <c r="AO113" s="167" t="s">
        <v>31</v>
      </c>
      <c r="AP113" s="201">
        <v>0.75</v>
      </c>
      <c r="AQ113" s="157">
        <f t="shared" si="98"/>
        <v>149</v>
      </c>
      <c r="AR113" s="158">
        <v>1</v>
      </c>
      <c r="AS113" s="170">
        <f>AP113*AR113/AQ113</f>
        <v>5.0335570469798654E-3</v>
      </c>
      <c r="AT113" s="121">
        <f>217614.28*1.302</f>
        <v>283333.79256000003</v>
      </c>
      <c r="AU113" s="30"/>
      <c r="AV113" s="46">
        <f>AS113*AT113</f>
        <v>1426.1768081879195</v>
      </c>
      <c r="AW113" s="27"/>
      <c r="AY113" s="17">
        <f>AJ113*149</f>
        <v>212500.34442000004</v>
      </c>
      <c r="BA113" s="38">
        <f>AV113*149</f>
        <v>212500.34442000001</v>
      </c>
      <c r="BB113" s="38">
        <f>AY113+BA113</f>
        <v>425000.68884000008</v>
      </c>
    </row>
    <row r="114" spans="1:57" ht="15" hidden="1" customHeight="1">
      <c r="A114" s="746"/>
      <c r="B114" s="748"/>
      <c r="C114" s="263" t="e">
        <f>'расчет по услугам'!#REF!</f>
        <v>#REF!</v>
      </c>
      <c r="D114" s="190" t="s">
        <v>192</v>
      </c>
      <c r="E114" s="753">
        <f>'[1]расчет свод'!S100</f>
        <v>0</v>
      </c>
      <c r="F114" s="753"/>
      <c r="G114" s="191"/>
      <c r="H114" s="192"/>
      <c r="I114" s="196"/>
      <c r="J114" s="204"/>
      <c r="K114" s="195"/>
      <c r="L114" s="205"/>
      <c r="M114" s="274"/>
      <c r="Q114" s="198"/>
      <c r="R114" s="167"/>
      <c r="S114" s="201"/>
      <c r="T114" s="157">
        <f t="shared" si="96"/>
        <v>48</v>
      </c>
      <c r="U114" s="158"/>
      <c r="V114" s="170"/>
      <c r="W114" s="121"/>
      <c r="X114" s="30"/>
      <c r="Y114" s="46"/>
      <c r="AA114" s="41"/>
      <c r="AB114" s="198"/>
      <c r="AC114" s="167"/>
      <c r="AD114" s="201"/>
      <c r="AE114" s="157">
        <f t="shared" si="97"/>
        <v>101</v>
      </c>
      <c r="AF114" s="158"/>
      <c r="AG114" s="170"/>
      <c r="AH114" s="121"/>
      <c r="AI114" s="30"/>
      <c r="AJ114" s="46"/>
      <c r="AK114" s="27"/>
      <c r="AL114" s="153"/>
      <c r="AM114" s="41"/>
      <c r="AN114" s="198"/>
      <c r="AO114" s="167"/>
      <c r="AP114" s="201"/>
      <c r="AQ114" s="157">
        <f t="shared" si="98"/>
        <v>149</v>
      </c>
      <c r="AR114" s="158"/>
      <c r="AS114" s="170"/>
      <c r="AT114" s="121"/>
      <c r="AU114" s="30"/>
      <c r="AV114" s="46"/>
      <c r="AW114" s="27"/>
      <c r="AY114" s="17">
        <f t="shared" ref="AY114:AY119" si="101">AJ114*135</f>
        <v>0</v>
      </c>
      <c r="BA114" s="38">
        <f t="shared" ref="BA114" si="102">AV114*135</f>
        <v>0</v>
      </c>
      <c r="BB114" s="38">
        <f t="shared" ref="BB114:BB118" si="103">AY114+BA114</f>
        <v>0</v>
      </c>
    </row>
    <row r="115" spans="1:57" ht="27" hidden="1" customHeight="1" thickBot="1">
      <c r="A115" s="746"/>
      <c r="B115" s="748"/>
      <c r="C115" s="321"/>
      <c r="D115" s="321"/>
      <c r="E115" s="258"/>
      <c r="F115" s="322"/>
      <c r="G115" s="191"/>
      <c r="H115" s="192"/>
      <c r="I115" s="196"/>
      <c r="J115" s="204"/>
      <c r="K115" s="195"/>
      <c r="L115" s="205"/>
      <c r="M115" s="276"/>
      <c r="Q115" s="208"/>
      <c r="R115" s="167"/>
      <c r="S115" s="201"/>
      <c r="T115" s="157"/>
      <c r="U115" s="158"/>
      <c r="V115" s="170"/>
      <c r="W115" s="121"/>
      <c r="X115" s="30"/>
      <c r="Y115" s="46"/>
      <c r="AA115" s="9"/>
      <c r="AB115" s="208"/>
      <c r="AC115" s="167"/>
      <c r="AD115" s="201"/>
      <c r="AE115" s="157"/>
      <c r="AF115" s="158"/>
      <c r="AG115" s="170"/>
      <c r="AH115" s="121"/>
      <c r="AI115" s="30"/>
      <c r="AJ115" s="46"/>
      <c r="AK115" s="27"/>
      <c r="AL115" s="206"/>
      <c r="AM115" s="9">
        <v>8</v>
      </c>
      <c r="AN115" s="207" t="s">
        <v>140</v>
      </c>
      <c r="AO115" s="167" t="s">
        <v>31</v>
      </c>
      <c r="AP115" s="201">
        <v>1.75</v>
      </c>
      <c r="AQ115" s="157" t="e">
        <f>#REF!</f>
        <v>#REF!</v>
      </c>
      <c r="AR115" s="158">
        <v>1</v>
      </c>
      <c r="AS115" s="170" t="e">
        <f t="shared" ref="AS115:AS118" si="104">AP115*AR115/AQ115</f>
        <v>#REF!</v>
      </c>
      <c r="AT115" s="121">
        <f>160817.28*1.302</f>
        <v>209384.09856000001</v>
      </c>
      <c r="AU115" s="30"/>
      <c r="AV115" s="46" t="e">
        <f>AS115*AT115</f>
        <v>#REF!</v>
      </c>
      <c r="AW115" s="27"/>
      <c r="AY115" s="17">
        <f t="shared" ref="AY115:AY118" si="105">AJ115*97</f>
        <v>0</v>
      </c>
      <c r="AZ115" s="24"/>
      <c r="BA115" s="38" t="e">
        <f t="shared" ref="BA115:BA118" si="106">AV115*149</f>
        <v>#REF!</v>
      </c>
      <c r="BB115" s="38" t="e">
        <f t="shared" si="103"/>
        <v>#REF!</v>
      </c>
      <c r="BC115" s="24"/>
    </row>
    <row r="116" spans="1:57" ht="27" hidden="1" customHeight="1" thickBot="1">
      <c r="A116" s="746"/>
      <c r="B116" s="748"/>
      <c r="C116" s="321"/>
      <c r="D116" s="321"/>
      <c r="E116" s="258"/>
      <c r="F116" s="322"/>
      <c r="G116" s="191"/>
      <c r="H116" s="192"/>
      <c r="I116" s="196"/>
      <c r="J116" s="204"/>
      <c r="K116" s="195"/>
      <c r="L116" s="205"/>
      <c r="M116" s="276"/>
      <c r="Q116" s="208"/>
      <c r="R116" s="167"/>
      <c r="S116" s="201"/>
      <c r="T116" s="157"/>
      <c r="U116" s="158"/>
      <c r="V116" s="170"/>
      <c r="W116" s="121"/>
      <c r="X116" s="30"/>
      <c r="Y116" s="46"/>
      <c r="AA116" s="9"/>
      <c r="AB116" s="208"/>
      <c r="AC116" s="167"/>
      <c r="AD116" s="201"/>
      <c r="AE116" s="157"/>
      <c r="AF116" s="158"/>
      <c r="AG116" s="170"/>
      <c r="AH116" s="121"/>
      <c r="AI116" s="30"/>
      <c r="AJ116" s="46"/>
      <c r="AK116" s="27"/>
      <c r="AL116" s="206"/>
      <c r="AM116" s="9">
        <v>9</v>
      </c>
      <c r="AN116" s="207" t="s">
        <v>235</v>
      </c>
      <c r="AO116" s="167" t="s">
        <v>31</v>
      </c>
      <c r="AP116" s="201">
        <v>0.5</v>
      </c>
      <c r="AQ116" s="157" t="e">
        <f t="shared" ref="AQ116:AQ118" si="107">AQ115</f>
        <v>#REF!</v>
      </c>
      <c r="AR116" s="158">
        <v>1</v>
      </c>
      <c r="AS116" s="170" t="e">
        <f t="shared" si="104"/>
        <v>#REF!</v>
      </c>
      <c r="AT116" s="121">
        <f>127534.68*1.302</f>
        <v>166050.15336</v>
      </c>
      <c r="AU116" s="30"/>
      <c r="AV116" s="46" t="e">
        <f>AS116*AT116</f>
        <v>#REF!</v>
      </c>
      <c r="AW116" s="27"/>
      <c r="AY116" s="17">
        <f t="shared" si="105"/>
        <v>0</v>
      </c>
      <c r="AZ116" s="24"/>
      <c r="BA116" s="38" t="e">
        <f t="shared" si="106"/>
        <v>#REF!</v>
      </c>
      <c r="BB116" s="38" t="e">
        <f t="shared" si="103"/>
        <v>#REF!</v>
      </c>
      <c r="BC116" s="24"/>
    </row>
    <row r="117" spans="1:57" ht="27" hidden="1" customHeight="1" thickBot="1">
      <c r="A117" s="746"/>
      <c r="B117" s="748"/>
      <c r="C117" s="321"/>
      <c r="D117" s="321"/>
      <c r="E117" s="258"/>
      <c r="F117" s="322"/>
      <c r="G117" s="191"/>
      <c r="H117" s="192"/>
      <c r="I117" s="196"/>
      <c r="J117" s="204"/>
      <c r="K117" s="195"/>
      <c r="L117" s="205"/>
      <c r="M117" s="276"/>
      <c r="Q117" s="208"/>
      <c r="R117" s="167"/>
      <c r="S117" s="201"/>
      <c r="T117" s="157"/>
      <c r="U117" s="158"/>
      <c r="V117" s="170"/>
      <c r="W117" s="121"/>
      <c r="X117" s="30"/>
      <c r="Y117" s="46"/>
      <c r="AA117" s="9"/>
      <c r="AB117" s="208"/>
      <c r="AC117" s="167"/>
      <c r="AD117" s="201"/>
      <c r="AE117" s="157"/>
      <c r="AF117" s="158"/>
      <c r="AG117" s="170"/>
      <c r="AH117" s="121"/>
      <c r="AI117" s="30"/>
      <c r="AJ117" s="46"/>
      <c r="AK117" s="27"/>
      <c r="AL117" s="206"/>
      <c r="AM117" s="9">
        <v>10</v>
      </c>
      <c r="AN117" s="207" t="s">
        <v>236</v>
      </c>
      <c r="AO117" s="167" t="s">
        <v>31</v>
      </c>
      <c r="AP117" s="201">
        <v>2.5</v>
      </c>
      <c r="AQ117" s="157" t="e">
        <f>AQ115</f>
        <v>#REF!</v>
      </c>
      <c r="AR117" s="158">
        <v>1</v>
      </c>
      <c r="AS117" s="170" t="e">
        <f t="shared" si="104"/>
        <v>#REF!</v>
      </c>
      <c r="AT117" s="121">
        <f>174164.74*1.302</f>
        <v>226762.49148</v>
      </c>
      <c r="AU117" s="30"/>
      <c r="AV117" s="46" t="e">
        <f t="shared" ref="AV117:AV118" si="108">AS117*AT117</f>
        <v>#REF!</v>
      </c>
      <c r="AW117" s="27"/>
      <c r="AY117" s="17">
        <f t="shared" si="105"/>
        <v>0</v>
      </c>
      <c r="AZ117" s="24"/>
      <c r="BA117" s="38" t="e">
        <f t="shared" si="106"/>
        <v>#REF!</v>
      </c>
      <c r="BB117" s="209" t="e">
        <f t="shared" si="103"/>
        <v>#REF!</v>
      </c>
      <c r="BC117" s="24"/>
    </row>
    <row r="118" spans="1:57" ht="27" hidden="1" customHeight="1" thickBot="1">
      <c r="A118" s="746"/>
      <c r="B118" s="748"/>
      <c r="C118" s="321"/>
      <c r="D118" s="321"/>
      <c r="E118" s="258"/>
      <c r="F118" s="322"/>
      <c r="G118" s="191"/>
      <c r="H118" s="192"/>
      <c r="I118" s="196"/>
      <c r="J118" s="204"/>
      <c r="K118" s="195"/>
      <c r="L118" s="205"/>
      <c r="M118" s="276"/>
      <c r="Q118" s="208"/>
      <c r="R118" s="167"/>
      <c r="S118" s="201"/>
      <c r="T118" s="157"/>
      <c r="U118" s="158"/>
      <c r="V118" s="170"/>
      <c r="W118" s="121"/>
      <c r="X118" s="30"/>
      <c r="Y118" s="46"/>
      <c r="AA118" s="9"/>
      <c r="AB118" s="208"/>
      <c r="AC118" s="167"/>
      <c r="AD118" s="201"/>
      <c r="AE118" s="157"/>
      <c r="AF118" s="158"/>
      <c r="AG118" s="170"/>
      <c r="AH118" s="121"/>
      <c r="AI118" s="30"/>
      <c r="AJ118" s="46"/>
      <c r="AK118" s="27"/>
      <c r="AL118" s="206"/>
      <c r="AM118" s="9">
        <v>11</v>
      </c>
      <c r="AN118" s="154" t="s">
        <v>237</v>
      </c>
      <c r="AO118" s="167" t="s">
        <v>31</v>
      </c>
      <c r="AP118" s="201">
        <v>2</v>
      </c>
      <c r="AQ118" s="157" t="e">
        <f t="shared" si="107"/>
        <v>#REF!</v>
      </c>
      <c r="AR118" s="158">
        <v>1</v>
      </c>
      <c r="AS118" s="170" t="e">
        <f t="shared" si="104"/>
        <v>#REF!</v>
      </c>
      <c r="AT118" s="121">
        <f>140317.32*1.302</f>
        <v>182693.15064000001</v>
      </c>
      <c r="AU118" s="30"/>
      <c r="AV118" s="46" t="e">
        <f t="shared" si="108"/>
        <v>#REF!</v>
      </c>
      <c r="AW118" s="27"/>
      <c r="AY118" s="17">
        <f t="shared" si="105"/>
        <v>0</v>
      </c>
      <c r="AZ118" s="24" t="e">
        <f>#REF!*2</f>
        <v>#REF!</v>
      </c>
      <c r="BA118" s="38" t="e">
        <f t="shared" si="106"/>
        <v>#REF!</v>
      </c>
      <c r="BB118" s="38" t="e">
        <f t="shared" si="103"/>
        <v>#REF!</v>
      </c>
      <c r="BD118" s="5">
        <v>4172304</v>
      </c>
    </row>
    <row r="119" spans="1:57" ht="15.75" hidden="1" customHeight="1" thickBot="1">
      <c r="A119" s="746"/>
      <c r="B119" s="748"/>
      <c r="C119" s="323"/>
      <c r="D119" s="323"/>
      <c r="E119" s="261"/>
      <c r="F119" s="324"/>
      <c r="G119" s="312"/>
      <c r="H119" s="313"/>
      <c r="I119" s="325"/>
      <c r="J119" s="204"/>
      <c r="K119" s="195"/>
      <c r="L119" s="205"/>
      <c r="M119" s="274"/>
      <c r="Q119" s="210"/>
      <c r="R119" s="41"/>
      <c r="S119" s="42"/>
      <c r="T119" s="43"/>
      <c r="U119" s="44"/>
      <c r="V119" s="45"/>
      <c r="W119" s="211"/>
      <c r="X119" s="30"/>
      <c r="Y119" s="46"/>
      <c r="AA119" s="41"/>
      <c r="AB119" s="210"/>
      <c r="AC119" s="41"/>
      <c r="AD119" s="42"/>
      <c r="AE119" s="43"/>
      <c r="AF119" s="44"/>
      <c r="AG119" s="45"/>
      <c r="AH119" s="211"/>
      <c r="AI119" s="30"/>
      <c r="AJ119" s="46"/>
      <c r="AK119" s="27"/>
      <c r="AL119" s="153"/>
      <c r="AM119" s="41"/>
      <c r="AN119" s="210"/>
      <c r="AO119" s="41"/>
      <c r="AP119" s="42"/>
      <c r="AQ119" s="43"/>
      <c r="AR119" s="44"/>
      <c r="AS119" s="45"/>
      <c r="AT119" s="211"/>
      <c r="AU119" s="30"/>
      <c r="AV119" s="46"/>
      <c r="AW119" s="27"/>
      <c r="AY119" s="17">
        <f t="shared" si="101"/>
        <v>0</v>
      </c>
    </row>
    <row r="120" spans="1:57" ht="15.75" hidden="1" customHeight="1" thickBot="1">
      <c r="A120" s="746"/>
      <c r="B120" s="748"/>
      <c r="C120" s="810"/>
      <c r="D120" s="810"/>
      <c r="E120" s="810"/>
      <c r="F120" s="810"/>
      <c r="G120" s="810"/>
      <c r="H120" s="810"/>
      <c r="I120" s="810"/>
      <c r="J120" s="810"/>
      <c r="K120" s="246" t="e">
        <f>SUM(K110:K119)</f>
        <v>#REF!</v>
      </c>
      <c r="L120" s="205"/>
      <c r="M120" s="275"/>
      <c r="Q120" s="68"/>
      <c r="R120" s="68"/>
      <c r="S120" s="68"/>
      <c r="T120" s="68"/>
      <c r="U120" s="68"/>
      <c r="V120" s="68"/>
      <c r="W120" s="68"/>
      <c r="X120" s="68"/>
      <c r="Y120" s="175">
        <f>SUM(Y110:Y119)</f>
        <v>5613.0898618791944</v>
      </c>
      <c r="AA120" s="811" t="s">
        <v>27</v>
      </c>
      <c r="AB120" s="812"/>
      <c r="AC120" s="812"/>
      <c r="AD120" s="812"/>
      <c r="AE120" s="812"/>
      <c r="AF120" s="812"/>
      <c r="AG120" s="812"/>
      <c r="AH120" s="812"/>
      <c r="AI120" s="813"/>
      <c r="AJ120" s="175">
        <f>SUM(AJ110:AJ119)</f>
        <v>5613.0898618791953</v>
      </c>
      <c r="AK120" s="27"/>
      <c r="AL120" s="162"/>
      <c r="AM120" s="811" t="s">
        <v>27</v>
      </c>
      <c r="AN120" s="812"/>
      <c r="AO120" s="812"/>
      <c r="AP120" s="812"/>
      <c r="AQ120" s="812"/>
      <c r="AR120" s="812"/>
      <c r="AS120" s="812"/>
      <c r="AT120" s="812"/>
      <c r="AU120" s="813"/>
      <c r="AV120" s="175" t="e">
        <f>SUM(AV110:AV119)</f>
        <v>#REF!</v>
      </c>
      <c r="AW120" s="27"/>
      <c r="AY120" s="212">
        <f>AY110+AY111+AY112</f>
        <v>623850.04500000004</v>
      </c>
      <c r="AZ120" s="213">
        <f>AY120*2</f>
        <v>1247700.0900000001</v>
      </c>
      <c r="BA120" s="214">
        <f>BA110+BA111+BA112</f>
        <v>623850.04500000004</v>
      </c>
      <c r="BB120" s="215">
        <f>AY120+BA120</f>
        <v>1247700.0900000001</v>
      </c>
      <c r="BC120" s="216" t="s">
        <v>186</v>
      </c>
      <c r="BD120" s="24">
        <f>BB120+BA19</f>
        <v>4172303.9841</v>
      </c>
      <c r="BE120" s="217">
        <f>BD118-BD120</f>
        <v>1.5899999998509884E-2</v>
      </c>
    </row>
    <row r="121" spans="1:57" s="55" customFormat="1" ht="24" customHeight="1" thickBot="1">
      <c r="A121" s="746"/>
      <c r="B121" s="748"/>
      <c r="C121" s="749" t="s">
        <v>65</v>
      </c>
      <c r="D121" s="749"/>
      <c r="E121" s="749"/>
      <c r="F121" s="749"/>
      <c r="G121" s="749"/>
      <c r="H121" s="749"/>
      <c r="I121" s="749"/>
      <c r="J121" s="749"/>
      <c r="K121" s="749"/>
      <c r="L121" s="749"/>
      <c r="M121" s="180"/>
      <c r="P121" s="181"/>
      <c r="Q121" s="181"/>
      <c r="R121" s="181"/>
      <c r="S121" s="181"/>
      <c r="T121" s="181"/>
      <c r="U121" s="181"/>
      <c r="V121" s="181"/>
      <c r="W121" s="181"/>
      <c r="X121" s="181"/>
      <c r="Y121" s="181"/>
      <c r="Z121" s="33"/>
      <c r="AA121" s="815" t="s">
        <v>65</v>
      </c>
      <c r="AB121" s="816"/>
      <c r="AC121" s="816"/>
      <c r="AD121" s="816"/>
      <c r="AE121" s="816"/>
      <c r="AF121" s="816"/>
      <c r="AG121" s="816"/>
      <c r="AH121" s="816"/>
      <c r="AI121" s="816"/>
      <c r="AJ121" s="816"/>
      <c r="AK121" s="817"/>
      <c r="AL121" s="180"/>
      <c r="AM121" s="815" t="s">
        <v>65</v>
      </c>
      <c r="AN121" s="816"/>
      <c r="AO121" s="816"/>
      <c r="AP121" s="816"/>
      <c r="AQ121" s="816"/>
      <c r="AR121" s="816"/>
      <c r="AS121" s="816"/>
      <c r="AT121" s="816"/>
      <c r="AU121" s="816"/>
      <c r="AV121" s="816"/>
      <c r="AW121" s="817"/>
      <c r="AY121" s="218" t="e">
        <f>AY113+#REF!+#REF!+#REF!+AY117+AY118+AY115</f>
        <v>#REF!</v>
      </c>
      <c r="AZ121" s="219"/>
      <c r="BA121" s="220" t="e">
        <f>BA113+#REF!+#REF!+#REF!+BA117+BA118+BA115+BA116</f>
        <v>#REF!</v>
      </c>
      <c r="BB121" s="221" t="e">
        <f>AY121+BA121</f>
        <v>#REF!</v>
      </c>
      <c r="BC121" s="222" t="s">
        <v>238</v>
      </c>
      <c r="BD121" s="223" t="e">
        <f>BD122-BB121</f>
        <v>#REF!</v>
      </c>
    </row>
    <row r="122" spans="1:57" ht="30" customHeight="1">
      <c r="A122" s="746"/>
      <c r="B122" s="748"/>
      <c r="C122" s="235" t="e">
        <f>'расчет по услугам'!#REF!</f>
        <v>#REF!</v>
      </c>
      <c r="D122" s="224" t="s">
        <v>130</v>
      </c>
      <c r="E122" s="753" t="e">
        <f>'расчет по услугам'!#REF!</f>
        <v>#REF!</v>
      </c>
      <c r="F122" s="753"/>
      <c r="G122" s="191">
        <v>1</v>
      </c>
      <c r="H122" s="192" t="e">
        <f>F122*G122/#REF!</f>
        <v>#REF!</v>
      </c>
      <c r="I122" s="225">
        <v>16000</v>
      </c>
      <c r="J122" s="204"/>
      <c r="K122" s="195" t="e">
        <f t="shared" ref="K122:K141" si="109">H122*I122</f>
        <v>#REF!</v>
      </c>
      <c r="L122" s="205"/>
      <c r="M122" s="274"/>
      <c r="Q122" s="226" t="s">
        <v>114</v>
      </c>
      <c r="R122" s="226" t="s">
        <v>52</v>
      </c>
      <c r="S122" s="227">
        <f t="shared" ref="S122:S132" si="110">0.5/149*T122</f>
        <v>0.16107382550335569</v>
      </c>
      <c r="T122" s="228">
        <v>48</v>
      </c>
      <c r="U122" s="191">
        <v>1</v>
      </c>
      <c r="V122" s="192">
        <f t="shared" ref="V122:V131" si="111">S122*U122/T122</f>
        <v>3.3557046979865771E-3</v>
      </c>
      <c r="W122" s="225">
        <v>16000</v>
      </c>
      <c r="X122" s="204"/>
      <c r="Y122" s="195">
        <f t="shared" ref="Y122:Y141" si="112">V122*W122</f>
        <v>53.691275167785236</v>
      </c>
      <c r="AA122" s="205">
        <v>1</v>
      </c>
      <c r="AB122" s="226" t="s">
        <v>114</v>
      </c>
      <c r="AC122" s="226" t="s">
        <v>52</v>
      </c>
      <c r="AD122" s="227">
        <f t="shared" ref="AD122:AD132" si="113">0.5/149*AE122</f>
        <v>0.33892617449664431</v>
      </c>
      <c r="AE122" s="228">
        <v>101</v>
      </c>
      <c r="AF122" s="191">
        <v>1</v>
      </c>
      <c r="AG122" s="192">
        <f t="shared" ref="AG122:AG131" si="114">AD122*AF122/AE122</f>
        <v>3.3557046979865771E-3</v>
      </c>
      <c r="AH122" s="225">
        <v>16000</v>
      </c>
      <c r="AI122" s="204"/>
      <c r="AJ122" s="195">
        <f t="shared" ref="AJ122:AJ145" si="115">AG122*AH122</f>
        <v>53.691275167785236</v>
      </c>
      <c r="AK122" s="205"/>
      <c r="AL122" s="197"/>
      <c r="AM122" s="205">
        <v>1</v>
      </c>
      <c r="AN122" s="226" t="s">
        <v>114</v>
      </c>
      <c r="AO122" s="229" t="s">
        <v>52</v>
      </c>
      <c r="AP122" s="227">
        <v>0.5</v>
      </c>
      <c r="AQ122" s="228">
        <v>149</v>
      </c>
      <c r="AR122" s="191">
        <v>1</v>
      </c>
      <c r="AS122" s="192">
        <f t="shared" ref="AS122:AS140" si="116">AP122*AR122/AQ122</f>
        <v>3.3557046979865771E-3</v>
      </c>
      <c r="AT122" s="225">
        <v>16000</v>
      </c>
      <c r="AU122" s="204"/>
      <c r="AV122" s="195">
        <f t="shared" ref="AV122:AV136" si="117">AS122*AT122</f>
        <v>53.691275167785236</v>
      </c>
      <c r="AW122" s="205"/>
      <c r="AX122" s="5">
        <v>340</v>
      </c>
      <c r="AY122" s="230">
        <f>AJ122*149</f>
        <v>8000</v>
      </c>
      <c r="AZ122" s="231">
        <f>AV122*149</f>
        <v>8000</v>
      </c>
      <c r="BA122" s="232">
        <f>AY122+AZ122</f>
        <v>16000</v>
      </c>
      <c r="BB122" s="39"/>
      <c r="BD122" s="24">
        <v>3023503.9</v>
      </c>
    </row>
    <row r="123" spans="1:57" ht="30" customHeight="1">
      <c r="A123" s="746"/>
      <c r="B123" s="748"/>
      <c r="C123" s="235" t="e">
        <f>'расчет по услугам'!#REF!</f>
        <v>#REF!</v>
      </c>
      <c r="D123" s="224" t="s">
        <v>130</v>
      </c>
      <c r="E123" s="753" t="e">
        <f>'расчет по услугам'!#REF!</f>
        <v>#REF!</v>
      </c>
      <c r="F123" s="753"/>
      <c r="G123" s="191">
        <v>1</v>
      </c>
      <c r="H123" s="192" t="e">
        <f>F123*G123/#REF!</f>
        <v>#REF!</v>
      </c>
      <c r="I123" s="225">
        <v>100000</v>
      </c>
      <c r="J123" s="204"/>
      <c r="K123" s="195" t="e">
        <f t="shared" si="109"/>
        <v>#REF!</v>
      </c>
      <c r="L123" s="205"/>
      <c r="M123" s="274"/>
      <c r="Q123" s="226" t="s">
        <v>239</v>
      </c>
      <c r="R123" s="226" t="s">
        <v>52</v>
      </c>
      <c r="S123" s="227">
        <f t="shared" si="110"/>
        <v>0.16107382550335569</v>
      </c>
      <c r="T123" s="228">
        <f>T122</f>
        <v>48</v>
      </c>
      <c r="U123" s="191">
        <v>1</v>
      </c>
      <c r="V123" s="192">
        <f t="shared" si="111"/>
        <v>3.3557046979865771E-3</v>
      </c>
      <c r="W123" s="225">
        <v>100000</v>
      </c>
      <c r="X123" s="204"/>
      <c r="Y123" s="195">
        <f t="shared" si="112"/>
        <v>335.57046979865771</v>
      </c>
      <c r="AA123" s="205">
        <v>2</v>
      </c>
      <c r="AB123" s="226" t="s">
        <v>239</v>
      </c>
      <c r="AC123" s="226" t="s">
        <v>52</v>
      </c>
      <c r="AD123" s="227">
        <f t="shared" si="113"/>
        <v>0.33892617449664431</v>
      </c>
      <c r="AE123" s="228">
        <f>AE122</f>
        <v>101</v>
      </c>
      <c r="AF123" s="191">
        <v>1</v>
      </c>
      <c r="AG123" s="192">
        <f t="shared" si="114"/>
        <v>3.3557046979865771E-3</v>
      </c>
      <c r="AH123" s="225">
        <v>100000</v>
      </c>
      <c r="AI123" s="204"/>
      <c r="AJ123" s="195">
        <f t="shared" si="115"/>
        <v>335.57046979865771</v>
      </c>
      <c r="AK123" s="205"/>
      <c r="AL123" s="197"/>
      <c r="AM123" s="205">
        <v>2</v>
      </c>
      <c r="AN123" s="226" t="s">
        <v>239</v>
      </c>
      <c r="AO123" s="229" t="s">
        <v>52</v>
      </c>
      <c r="AP123" s="227">
        <v>0.5</v>
      </c>
      <c r="AQ123" s="228">
        <f>AQ122</f>
        <v>149</v>
      </c>
      <c r="AR123" s="191">
        <v>1</v>
      </c>
      <c r="AS123" s="192">
        <f t="shared" si="116"/>
        <v>3.3557046979865771E-3</v>
      </c>
      <c r="AT123" s="225">
        <v>100000</v>
      </c>
      <c r="AU123" s="204"/>
      <c r="AV123" s="195">
        <f t="shared" si="117"/>
        <v>335.57046979865771</v>
      </c>
      <c r="AW123" s="205"/>
      <c r="AX123" s="5">
        <v>340</v>
      </c>
      <c r="AY123" s="233">
        <f>AJ123*149</f>
        <v>50000</v>
      </c>
      <c r="AZ123" s="231">
        <f t="shared" ref="AZ123:AZ145" si="118">AV123*149</f>
        <v>50000</v>
      </c>
      <c r="BA123" s="232">
        <f t="shared" ref="BA123:BA145" si="119">AY123+AZ123</f>
        <v>100000</v>
      </c>
      <c r="BB123" s="39" t="s">
        <v>197</v>
      </c>
    </row>
    <row r="124" spans="1:57" ht="30" customHeight="1">
      <c r="A124" s="746"/>
      <c r="B124" s="748"/>
      <c r="C124" s="235" t="e">
        <f>'расчет по услугам'!#REF!</f>
        <v>#REF!</v>
      </c>
      <c r="D124" s="224" t="s">
        <v>130</v>
      </c>
      <c r="E124" s="753" t="e">
        <f>'расчет по услугам'!#REF!</f>
        <v>#REF!</v>
      </c>
      <c r="F124" s="753"/>
      <c r="G124" s="191">
        <v>1</v>
      </c>
      <c r="H124" s="192" t="e">
        <f>F124*G124/#REF!</f>
        <v>#REF!</v>
      </c>
      <c r="I124" s="225">
        <v>5000</v>
      </c>
      <c r="J124" s="204"/>
      <c r="K124" s="195" t="e">
        <f t="shared" si="109"/>
        <v>#REF!</v>
      </c>
      <c r="L124" s="205"/>
      <c r="M124" s="274"/>
      <c r="Q124" s="226" t="s">
        <v>115</v>
      </c>
      <c r="R124" s="226" t="s">
        <v>52</v>
      </c>
      <c r="S124" s="227">
        <f t="shared" si="110"/>
        <v>0.16107382550335569</v>
      </c>
      <c r="T124" s="228">
        <f t="shared" ref="T124:T145" si="120">T123</f>
        <v>48</v>
      </c>
      <c r="U124" s="191">
        <v>1</v>
      </c>
      <c r="V124" s="192">
        <f t="shared" si="111"/>
        <v>3.3557046979865771E-3</v>
      </c>
      <c r="W124" s="225">
        <v>5000</v>
      </c>
      <c r="X124" s="204"/>
      <c r="Y124" s="195">
        <f t="shared" si="112"/>
        <v>16.778523489932887</v>
      </c>
      <c r="AA124" s="205">
        <v>3</v>
      </c>
      <c r="AB124" s="226" t="s">
        <v>115</v>
      </c>
      <c r="AC124" s="226" t="s">
        <v>52</v>
      </c>
      <c r="AD124" s="227">
        <f t="shared" si="113"/>
        <v>0.33892617449664431</v>
      </c>
      <c r="AE124" s="228">
        <f t="shared" ref="AE124:AE145" si="121">AE123</f>
        <v>101</v>
      </c>
      <c r="AF124" s="191">
        <v>1</v>
      </c>
      <c r="AG124" s="192">
        <f t="shared" si="114"/>
        <v>3.3557046979865771E-3</v>
      </c>
      <c r="AH124" s="225">
        <v>5000</v>
      </c>
      <c r="AI124" s="204"/>
      <c r="AJ124" s="195">
        <f t="shared" si="115"/>
        <v>16.778523489932887</v>
      </c>
      <c r="AK124" s="205"/>
      <c r="AL124" s="197"/>
      <c r="AM124" s="205">
        <v>3</v>
      </c>
      <c r="AN124" s="226" t="s">
        <v>115</v>
      </c>
      <c r="AO124" s="229" t="s">
        <v>52</v>
      </c>
      <c r="AP124" s="227">
        <v>0.5</v>
      </c>
      <c r="AQ124" s="228">
        <f t="shared" ref="AQ124:AQ141" si="122">AQ123</f>
        <v>149</v>
      </c>
      <c r="AR124" s="191">
        <v>1</v>
      </c>
      <c r="AS124" s="192">
        <f t="shared" si="116"/>
        <v>3.3557046979865771E-3</v>
      </c>
      <c r="AT124" s="225">
        <v>5000</v>
      </c>
      <c r="AU124" s="204"/>
      <c r="AV124" s="195">
        <f t="shared" si="117"/>
        <v>16.778523489932887</v>
      </c>
      <c r="AW124" s="205"/>
      <c r="AX124" s="5">
        <v>226</v>
      </c>
      <c r="AY124" s="233">
        <f t="shared" ref="AY124:AY145" si="123">AJ124*149</f>
        <v>2500</v>
      </c>
      <c r="AZ124" s="231">
        <f t="shared" si="118"/>
        <v>2500</v>
      </c>
      <c r="BA124" s="234">
        <f t="shared" si="119"/>
        <v>5000</v>
      </c>
      <c r="BB124" s="39" t="s">
        <v>240</v>
      </c>
    </row>
    <row r="125" spans="1:57" ht="30" customHeight="1">
      <c r="A125" s="746"/>
      <c r="B125" s="748"/>
      <c r="C125" s="235" t="e">
        <f>'расчет по услугам'!#REF!</f>
        <v>#REF!</v>
      </c>
      <c r="D125" s="224" t="s">
        <v>130</v>
      </c>
      <c r="E125" s="753" t="e">
        <f>'расчет по услугам'!#REF!</f>
        <v>#REF!</v>
      </c>
      <c r="F125" s="753"/>
      <c r="G125" s="191">
        <v>1</v>
      </c>
      <c r="H125" s="192" t="e">
        <f>F125*G125/#REF!</f>
        <v>#REF!</v>
      </c>
      <c r="I125" s="225">
        <v>145000</v>
      </c>
      <c r="J125" s="204"/>
      <c r="K125" s="195" t="e">
        <f t="shared" si="109"/>
        <v>#REF!</v>
      </c>
      <c r="L125" s="205"/>
      <c r="M125" s="274"/>
      <c r="Q125" s="226" t="s">
        <v>98</v>
      </c>
      <c r="R125" s="226" t="s">
        <v>52</v>
      </c>
      <c r="S125" s="227">
        <f t="shared" si="110"/>
        <v>0.16107382550335569</v>
      </c>
      <c r="T125" s="228">
        <f t="shared" si="120"/>
        <v>48</v>
      </c>
      <c r="U125" s="191">
        <v>1</v>
      </c>
      <c r="V125" s="192">
        <f t="shared" si="111"/>
        <v>3.3557046979865771E-3</v>
      </c>
      <c r="W125" s="225">
        <v>145000</v>
      </c>
      <c r="X125" s="204"/>
      <c r="Y125" s="195">
        <f t="shared" si="112"/>
        <v>486.57718120805367</v>
      </c>
      <c r="AA125" s="205">
        <v>4</v>
      </c>
      <c r="AB125" s="226" t="s">
        <v>98</v>
      </c>
      <c r="AC125" s="226" t="s">
        <v>52</v>
      </c>
      <c r="AD125" s="227">
        <f t="shared" si="113"/>
        <v>0.33892617449664431</v>
      </c>
      <c r="AE125" s="228">
        <f t="shared" si="121"/>
        <v>101</v>
      </c>
      <c r="AF125" s="191">
        <v>1</v>
      </c>
      <c r="AG125" s="192">
        <f t="shared" si="114"/>
        <v>3.3557046979865771E-3</v>
      </c>
      <c r="AH125" s="225">
        <v>145000</v>
      </c>
      <c r="AI125" s="204"/>
      <c r="AJ125" s="195">
        <f t="shared" si="115"/>
        <v>486.57718120805367</v>
      </c>
      <c r="AK125" s="205"/>
      <c r="AL125" s="197"/>
      <c r="AM125" s="205">
        <v>4</v>
      </c>
      <c r="AN125" s="226" t="s">
        <v>98</v>
      </c>
      <c r="AO125" s="229" t="s">
        <v>52</v>
      </c>
      <c r="AP125" s="227">
        <v>0.5</v>
      </c>
      <c r="AQ125" s="228">
        <f t="shared" si="122"/>
        <v>149</v>
      </c>
      <c r="AR125" s="191">
        <v>1</v>
      </c>
      <c r="AS125" s="192">
        <f t="shared" si="116"/>
        <v>3.3557046979865771E-3</v>
      </c>
      <c r="AT125" s="225">
        <v>145000</v>
      </c>
      <c r="AU125" s="204"/>
      <c r="AV125" s="195">
        <f t="shared" si="117"/>
        <v>486.57718120805367</v>
      </c>
      <c r="AW125" s="205"/>
      <c r="AX125" s="5">
        <v>226</v>
      </c>
      <c r="AY125" s="233">
        <f t="shared" si="123"/>
        <v>72500</v>
      </c>
      <c r="AZ125" s="231">
        <f t="shared" si="118"/>
        <v>72500</v>
      </c>
      <c r="BA125" s="234">
        <f t="shared" si="119"/>
        <v>145000</v>
      </c>
      <c r="BB125" s="39" t="s">
        <v>240</v>
      </c>
    </row>
    <row r="126" spans="1:57" ht="30" customHeight="1">
      <c r="A126" s="746"/>
      <c r="B126" s="748"/>
      <c r="C126" s="235" t="e">
        <f>'расчет по услугам'!#REF!</f>
        <v>#REF!</v>
      </c>
      <c r="D126" s="224" t="s">
        <v>130</v>
      </c>
      <c r="E126" s="753" t="e">
        <f>'расчет по услугам'!#REF!</f>
        <v>#REF!</v>
      </c>
      <c r="F126" s="753"/>
      <c r="G126" s="191">
        <v>1</v>
      </c>
      <c r="H126" s="192" t="e">
        <f>F126*G126/#REF!</f>
        <v>#REF!</v>
      </c>
      <c r="I126" s="235">
        <v>8000</v>
      </c>
      <c r="J126" s="204"/>
      <c r="K126" s="195" t="e">
        <f t="shared" si="109"/>
        <v>#REF!</v>
      </c>
      <c r="L126" s="205"/>
      <c r="M126" s="274"/>
      <c r="Q126" s="226" t="s">
        <v>116</v>
      </c>
      <c r="R126" s="226" t="s">
        <v>52</v>
      </c>
      <c r="S126" s="227">
        <f t="shared" si="110"/>
        <v>0.16107382550335569</v>
      </c>
      <c r="T126" s="228">
        <f t="shared" si="120"/>
        <v>48</v>
      </c>
      <c r="U126" s="191">
        <v>1</v>
      </c>
      <c r="V126" s="192">
        <f t="shared" si="111"/>
        <v>3.3557046979865771E-3</v>
      </c>
      <c r="W126" s="235">
        <v>8000</v>
      </c>
      <c r="X126" s="204"/>
      <c r="Y126" s="195">
        <f t="shared" si="112"/>
        <v>26.845637583892618</v>
      </c>
      <c r="AA126" s="205">
        <v>5</v>
      </c>
      <c r="AB126" s="226" t="s">
        <v>116</v>
      </c>
      <c r="AC126" s="226" t="s">
        <v>52</v>
      </c>
      <c r="AD126" s="227">
        <f t="shared" si="113"/>
        <v>0.33892617449664431</v>
      </c>
      <c r="AE126" s="228">
        <f t="shared" si="121"/>
        <v>101</v>
      </c>
      <c r="AF126" s="191">
        <v>1</v>
      </c>
      <c r="AG126" s="192">
        <f t="shared" si="114"/>
        <v>3.3557046979865771E-3</v>
      </c>
      <c r="AH126" s="235">
        <v>8000</v>
      </c>
      <c r="AI126" s="204"/>
      <c r="AJ126" s="195">
        <f t="shared" si="115"/>
        <v>26.845637583892618</v>
      </c>
      <c r="AK126" s="205"/>
      <c r="AL126" s="197"/>
      <c r="AM126" s="205">
        <v>5</v>
      </c>
      <c r="AN126" s="226" t="s">
        <v>116</v>
      </c>
      <c r="AO126" s="226" t="s">
        <v>52</v>
      </c>
      <c r="AP126" s="227">
        <v>0.5</v>
      </c>
      <c r="AQ126" s="228">
        <f t="shared" si="122"/>
        <v>149</v>
      </c>
      <c r="AR126" s="191">
        <v>1</v>
      </c>
      <c r="AS126" s="192">
        <f t="shared" si="116"/>
        <v>3.3557046979865771E-3</v>
      </c>
      <c r="AT126" s="235">
        <v>8000</v>
      </c>
      <c r="AU126" s="204"/>
      <c r="AV126" s="195">
        <f t="shared" si="117"/>
        <v>26.845637583892618</v>
      </c>
      <c r="AW126" s="205"/>
      <c r="AX126" s="5">
        <v>226</v>
      </c>
      <c r="AY126" s="233">
        <f t="shared" si="123"/>
        <v>4000</v>
      </c>
      <c r="AZ126" s="231">
        <f t="shared" si="118"/>
        <v>4000</v>
      </c>
      <c r="BA126" s="234">
        <f t="shared" si="119"/>
        <v>8000</v>
      </c>
      <c r="BB126" s="39" t="s">
        <v>240</v>
      </c>
    </row>
    <row r="127" spans="1:57" ht="30" customHeight="1">
      <c r="A127" s="746"/>
      <c r="B127" s="748"/>
      <c r="C127" s="235" t="e">
        <f>'расчет по услугам'!#REF!</f>
        <v>#REF!</v>
      </c>
      <c r="D127" s="224" t="s">
        <v>130</v>
      </c>
      <c r="E127" s="753" t="e">
        <f>'расчет по услугам'!#REF!</f>
        <v>#REF!</v>
      </c>
      <c r="F127" s="753"/>
      <c r="G127" s="191">
        <v>1</v>
      </c>
      <c r="H127" s="192" t="e">
        <f>F127*G127/#REF!</f>
        <v>#REF!</v>
      </c>
      <c r="I127" s="225">
        <v>100000</v>
      </c>
      <c r="J127" s="204"/>
      <c r="K127" s="195" t="e">
        <f t="shared" si="109"/>
        <v>#REF!</v>
      </c>
      <c r="L127" s="205"/>
      <c r="M127" s="274"/>
      <c r="Q127" s="226" t="s">
        <v>241</v>
      </c>
      <c r="R127" s="226" t="s">
        <v>52</v>
      </c>
      <c r="S127" s="227">
        <f t="shared" si="110"/>
        <v>0.16107382550335569</v>
      </c>
      <c r="T127" s="228">
        <f t="shared" si="120"/>
        <v>48</v>
      </c>
      <c r="U127" s="191">
        <v>1</v>
      </c>
      <c r="V127" s="192">
        <f t="shared" si="111"/>
        <v>3.3557046979865771E-3</v>
      </c>
      <c r="W127" s="225">
        <v>100000</v>
      </c>
      <c r="X127" s="204"/>
      <c r="Y127" s="195">
        <f t="shared" si="112"/>
        <v>335.57046979865771</v>
      </c>
      <c r="AA127" s="205">
        <v>6</v>
      </c>
      <c r="AB127" s="226" t="s">
        <v>241</v>
      </c>
      <c r="AC127" s="226" t="s">
        <v>52</v>
      </c>
      <c r="AD127" s="227">
        <f t="shared" si="113"/>
        <v>0.33892617449664431</v>
      </c>
      <c r="AE127" s="228">
        <f t="shared" si="121"/>
        <v>101</v>
      </c>
      <c r="AF127" s="191">
        <v>1</v>
      </c>
      <c r="AG127" s="192">
        <f t="shared" si="114"/>
        <v>3.3557046979865771E-3</v>
      </c>
      <c r="AH127" s="225">
        <v>100000</v>
      </c>
      <c r="AI127" s="204"/>
      <c r="AJ127" s="195">
        <f t="shared" si="115"/>
        <v>335.57046979865771</v>
      </c>
      <c r="AK127" s="205"/>
      <c r="AL127" s="197"/>
      <c r="AM127" s="205">
        <v>6</v>
      </c>
      <c r="AN127" s="226" t="s">
        <v>241</v>
      </c>
      <c r="AO127" s="229" t="s">
        <v>52</v>
      </c>
      <c r="AP127" s="236">
        <v>0.5</v>
      </c>
      <c r="AQ127" s="228">
        <f t="shared" si="122"/>
        <v>149</v>
      </c>
      <c r="AR127" s="191">
        <v>1</v>
      </c>
      <c r="AS127" s="192">
        <f t="shared" si="116"/>
        <v>3.3557046979865771E-3</v>
      </c>
      <c r="AT127" s="225">
        <v>100000</v>
      </c>
      <c r="AU127" s="204"/>
      <c r="AV127" s="195">
        <f t="shared" si="117"/>
        <v>335.57046979865771</v>
      </c>
      <c r="AW127" s="205"/>
      <c r="AX127" s="5">
        <v>226</v>
      </c>
      <c r="AY127" s="233">
        <f t="shared" si="123"/>
        <v>50000</v>
      </c>
      <c r="AZ127" s="231">
        <f t="shared" si="118"/>
        <v>50000</v>
      </c>
      <c r="BA127" s="234">
        <f t="shared" si="119"/>
        <v>100000</v>
      </c>
      <c r="BB127" s="39" t="s">
        <v>240</v>
      </c>
    </row>
    <row r="128" spans="1:57" ht="30" customHeight="1">
      <c r="A128" s="746"/>
      <c r="B128" s="748"/>
      <c r="C128" s="235" t="e">
        <f>'расчет по услугам'!#REF!</f>
        <v>#REF!</v>
      </c>
      <c r="D128" s="224" t="s">
        <v>130</v>
      </c>
      <c r="E128" s="753" t="e">
        <f>'расчет по услугам'!#REF!</f>
        <v>#REF!</v>
      </c>
      <c r="F128" s="753"/>
      <c r="G128" s="191">
        <v>1</v>
      </c>
      <c r="H128" s="192" t="e">
        <f>F128*G128/#REF!</f>
        <v>#REF!</v>
      </c>
      <c r="I128" s="225">
        <v>68695</v>
      </c>
      <c r="J128" s="204"/>
      <c r="K128" s="195" t="e">
        <f t="shared" si="109"/>
        <v>#REF!</v>
      </c>
      <c r="L128" s="205"/>
      <c r="M128" s="274"/>
      <c r="Q128" s="226" t="s">
        <v>242</v>
      </c>
      <c r="R128" s="226" t="s">
        <v>52</v>
      </c>
      <c r="S128" s="227">
        <f t="shared" si="110"/>
        <v>0.16107382550335569</v>
      </c>
      <c r="T128" s="228">
        <f t="shared" si="120"/>
        <v>48</v>
      </c>
      <c r="U128" s="191">
        <v>1</v>
      </c>
      <c r="V128" s="192">
        <f t="shared" si="111"/>
        <v>3.3557046979865771E-3</v>
      </c>
      <c r="W128" s="225">
        <v>68695</v>
      </c>
      <c r="X128" s="204"/>
      <c r="Y128" s="195">
        <f t="shared" si="112"/>
        <v>230.52013422818791</v>
      </c>
      <c r="AA128" s="205">
        <v>7</v>
      </c>
      <c r="AB128" s="226" t="s">
        <v>242</v>
      </c>
      <c r="AC128" s="226" t="s">
        <v>52</v>
      </c>
      <c r="AD128" s="227">
        <f t="shared" si="113"/>
        <v>0.33892617449664431</v>
      </c>
      <c r="AE128" s="228">
        <f t="shared" si="121"/>
        <v>101</v>
      </c>
      <c r="AF128" s="191">
        <v>1</v>
      </c>
      <c r="AG128" s="192">
        <f t="shared" si="114"/>
        <v>3.3557046979865771E-3</v>
      </c>
      <c r="AH128" s="225">
        <v>68695</v>
      </c>
      <c r="AI128" s="204"/>
      <c r="AJ128" s="195">
        <f t="shared" si="115"/>
        <v>230.52013422818791</v>
      </c>
      <c r="AK128" s="205"/>
      <c r="AL128" s="197"/>
      <c r="AM128" s="205">
        <v>7</v>
      </c>
      <c r="AN128" s="226" t="s">
        <v>243</v>
      </c>
      <c r="AO128" s="229" t="s">
        <v>52</v>
      </c>
      <c r="AP128" s="236">
        <v>0.5</v>
      </c>
      <c r="AQ128" s="228">
        <f t="shared" si="122"/>
        <v>149</v>
      </c>
      <c r="AR128" s="191">
        <v>1</v>
      </c>
      <c r="AS128" s="192">
        <f t="shared" si="116"/>
        <v>3.3557046979865771E-3</v>
      </c>
      <c r="AT128" s="225">
        <v>68695</v>
      </c>
      <c r="AU128" s="204"/>
      <c r="AV128" s="195">
        <f t="shared" si="117"/>
        <v>230.52013422818791</v>
      </c>
      <c r="AW128" s="205"/>
      <c r="AX128" s="5">
        <v>226</v>
      </c>
      <c r="AY128" s="233">
        <f t="shared" si="123"/>
        <v>34347.5</v>
      </c>
      <c r="AZ128" s="231">
        <f t="shared" si="118"/>
        <v>34347.5</v>
      </c>
      <c r="BA128" s="234">
        <f t="shared" si="119"/>
        <v>68695</v>
      </c>
      <c r="BB128" s="39" t="s">
        <v>240</v>
      </c>
    </row>
    <row r="129" spans="1:58" ht="30" hidden="1" customHeight="1">
      <c r="A129" s="746"/>
      <c r="B129" s="748"/>
      <c r="C129" s="235" t="e">
        <f>'расчет по услугам'!#REF!</f>
        <v>#REF!</v>
      </c>
      <c r="D129" s="224" t="s">
        <v>130</v>
      </c>
      <c r="E129" s="753" t="e">
        <f>'расчет по услугам'!#REF!</f>
        <v>#REF!</v>
      </c>
      <c r="F129" s="753"/>
      <c r="G129" s="191">
        <v>1</v>
      </c>
      <c r="H129" s="192" t="e">
        <f>F129*G129/#REF!</f>
        <v>#REF!</v>
      </c>
      <c r="I129" s="235">
        <v>115800</v>
      </c>
      <c r="J129" s="204"/>
      <c r="K129" s="195" t="e">
        <f t="shared" si="109"/>
        <v>#REF!</v>
      </c>
      <c r="L129" s="205"/>
      <c r="M129" s="274"/>
      <c r="Q129" s="226" t="s">
        <v>244</v>
      </c>
      <c r="R129" s="226" t="s">
        <v>52</v>
      </c>
      <c r="S129" s="227">
        <f t="shared" si="110"/>
        <v>0.16107382550335569</v>
      </c>
      <c r="T129" s="228">
        <f t="shared" si="120"/>
        <v>48</v>
      </c>
      <c r="U129" s="191">
        <v>1</v>
      </c>
      <c r="V129" s="192">
        <f t="shared" si="111"/>
        <v>3.3557046979865771E-3</v>
      </c>
      <c r="W129" s="235">
        <v>115800</v>
      </c>
      <c r="X129" s="204"/>
      <c r="Y129" s="195">
        <f t="shared" si="112"/>
        <v>388.59060402684565</v>
      </c>
      <c r="AA129" s="205">
        <v>8</v>
      </c>
      <c r="AB129" s="226" t="s">
        <v>244</v>
      </c>
      <c r="AC129" s="226" t="s">
        <v>52</v>
      </c>
      <c r="AD129" s="227">
        <f t="shared" si="113"/>
        <v>0.33892617449664431</v>
      </c>
      <c r="AE129" s="228">
        <f t="shared" si="121"/>
        <v>101</v>
      </c>
      <c r="AF129" s="191">
        <v>1</v>
      </c>
      <c r="AG129" s="192">
        <f t="shared" si="114"/>
        <v>3.3557046979865771E-3</v>
      </c>
      <c r="AH129" s="235">
        <v>115800</v>
      </c>
      <c r="AI129" s="204"/>
      <c r="AJ129" s="195">
        <f t="shared" si="115"/>
        <v>388.59060402684565</v>
      </c>
      <c r="AK129" s="205"/>
      <c r="AL129" s="197"/>
      <c r="AM129" s="205">
        <v>8</v>
      </c>
      <c r="AN129" s="226" t="s">
        <v>244</v>
      </c>
      <c r="AO129" s="226" t="s">
        <v>52</v>
      </c>
      <c r="AP129" s="227">
        <v>0.5</v>
      </c>
      <c r="AQ129" s="228">
        <f t="shared" si="122"/>
        <v>149</v>
      </c>
      <c r="AR129" s="191">
        <v>1</v>
      </c>
      <c r="AS129" s="192">
        <f t="shared" si="116"/>
        <v>3.3557046979865771E-3</v>
      </c>
      <c r="AT129" s="235">
        <v>115800</v>
      </c>
      <c r="AU129" s="204"/>
      <c r="AV129" s="195">
        <f t="shared" si="117"/>
        <v>388.59060402684565</v>
      </c>
      <c r="AW129" s="205"/>
      <c r="AX129" s="5">
        <v>226</v>
      </c>
      <c r="AY129" s="233">
        <f t="shared" si="123"/>
        <v>57900</v>
      </c>
      <c r="AZ129" s="231">
        <f t="shared" si="118"/>
        <v>57900</v>
      </c>
      <c r="BA129" s="234">
        <f t="shared" si="119"/>
        <v>115800</v>
      </c>
      <c r="BB129" s="39" t="s">
        <v>240</v>
      </c>
      <c r="BC129" s="5">
        <v>14415771.93</v>
      </c>
      <c r="BD129" s="24" t="e">
        <f>AY19+BA19+BB120+BB121</f>
        <v>#REF!</v>
      </c>
      <c r="BE129" s="5" t="e">
        <f>BD129-BC129</f>
        <v>#REF!</v>
      </c>
      <c r="BF129" s="5">
        <v>211</v>
      </c>
    </row>
    <row r="130" spans="1:58" ht="30" hidden="1" customHeight="1">
      <c r="A130" s="746"/>
      <c r="B130" s="748"/>
      <c r="C130" s="235" t="e">
        <f>'расчет по услугам'!#REF!</f>
        <v>#REF!</v>
      </c>
      <c r="D130" s="224" t="s">
        <v>130</v>
      </c>
      <c r="E130" s="753" t="e">
        <f>'расчет по услугам'!#REF!</f>
        <v>#REF!</v>
      </c>
      <c r="F130" s="753"/>
      <c r="G130" s="191">
        <v>1</v>
      </c>
      <c r="H130" s="192" t="e">
        <f>F130*G130/#REF!</f>
        <v>#REF!</v>
      </c>
      <c r="I130" s="235">
        <f>56410.7-6410.4-0.3</f>
        <v>49999.999999999993</v>
      </c>
      <c r="J130" s="204"/>
      <c r="K130" s="195" t="e">
        <f t="shared" si="109"/>
        <v>#REF!</v>
      </c>
      <c r="L130" s="205"/>
      <c r="M130" s="274"/>
      <c r="Q130" s="226" t="s">
        <v>245</v>
      </c>
      <c r="R130" s="226" t="s">
        <v>52</v>
      </c>
      <c r="S130" s="227">
        <f t="shared" si="110"/>
        <v>0.16107382550335569</v>
      </c>
      <c r="T130" s="228">
        <f t="shared" si="120"/>
        <v>48</v>
      </c>
      <c r="U130" s="191">
        <v>1</v>
      </c>
      <c r="V130" s="192">
        <f t="shared" si="111"/>
        <v>3.3557046979865771E-3</v>
      </c>
      <c r="W130" s="235">
        <f>56410.7-6410.4-0.3</f>
        <v>49999.999999999993</v>
      </c>
      <c r="X130" s="204"/>
      <c r="Y130" s="195">
        <f t="shared" si="112"/>
        <v>167.78523489932883</v>
      </c>
      <c r="AA130" s="205">
        <v>9</v>
      </c>
      <c r="AB130" s="226" t="s">
        <v>245</v>
      </c>
      <c r="AC130" s="226" t="s">
        <v>52</v>
      </c>
      <c r="AD130" s="227">
        <f t="shared" si="113"/>
        <v>0.33892617449664431</v>
      </c>
      <c r="AE130" s="228">
        <f t="shared" si="121"/>
        <v>101</v>
      </c>
      <c r="AF130" s="191">
        <v>1</v>
      </c>
      <c r="AG130" s="192">
        <f t="shared" si="114"/>
        <v>3.3557046979865771E-3</v>
      </c>
      <c r="AH130" s="235">
        <f>56410.7-6410.4-0.3</f>
        <v>49999.999999999993</v>
      </c>
      <c r="AI130" s="204"/>
      <c r="AJ130" s="195">
        <f t="shared" si="115"/>
        <v>167.78523489932883</v>
      </c>
      <c r="AK130" s="205"/>
      <c r="AL130" s="197"/>
      <c r="AM130" s="205">
        <v>8</v>
      </c>
      <c r="AN130" s="226" t="s">
        <v>245</v>
      </c>
      <c r="AO130" s="226" t="s">
        <v>52</v>
      </c>
      <c r="AP130" s="227">
        <v>0.5</v>
      </c>
      <c r="AQ130" s="228">
        <f t="shared" si="122"/>
        <v>149</v>
      </c>
      <c r="AR130" s="191">
        <v>1</v>
      </c>
      <c r="AS130" s="192">
        <f t="shared" si="116"/>
        <v>3.3557046979865771E-3</v>
      </c>
      <c r="AT130" s="235">
        <f>56410.7-6410.4-0.3</f>
        <v>49999.999999999993</v>
      </c>
      <c r="AU130" s="204"/>
      <c r="AV130" s="195">
        <f t="shared" si="117"/>
        <v>167.78523489932883</v>
      </c>
      <c r="AW130" s="205"/>
      <c r="AX130" s="5">
        <v>226</v>
      </c>
      <c r="AY130" s="233">
        <f t="shared" si="123"/>
        <v>24999.999999999996</v>
      </c>
      <c r="AZ130" s="231">
        <f t="shared" si="118"/>
        <v>24999.999999999996</v>
      </c>
      <c r="BA130" s="234">
        <f t="shared" si="119"/>
        <v>49999.999999999993</v>
      </c>
      <c r="BB130" s="39" t="s">
        <v>240</v>
      </c>
      <c r="BC130" s="5">
        <v>14415771.93</v>
      </c>
      <c r="BD130" s="24" t="e">
        <f>AY20+BA20+BB121+BB122</f>
        <v>#REF!</v>
      </c>
      <c r="BE130" s="5" t="e">
        <f>BD130-BC130</f>
        <v>#REF!</v>
      </c>
      <c r="BF130" s="5">
        <v>211</v>
      </c>
    </row>
    <row r="131" spans="1:58" ht="30" customHeight="1">
      <c r="A131" s="746"/>
      <c r="B131" s="748"/>
      <c r="C131" s="235" t="e">
        <f>'расчет по услугам'!#REF!</f>
        <v>#REF!</v>
      </c>
      <c r="D131" s="224" t="s">
        <v>130</v>
      </c>
      <c r="E131" s="753" t="e">
        <f>'расчет по услугам'!#REF!</f>
        <v>#REF!</v>
      </c>
      <c r="F131" s="753"/>
      <c r="G131" s="191">
        <v>1</v>
      </c>
      <c r="H131" s="192" t="e">
        <f>F131*G131/#REF!</f>
        <v>#REF!</v>
      </c>
      <c r="I131" s="235">
        <v>2500</v>
      </c>
      <c r="J131" s="204"/>
      <c r="K131" s="195" t="e">
        <f t="shared" si="109"/>
        <v>#REF!</v>
      </c>
      <c r="L131" s="205"/>
      <c r="M131" s="274"/>
      <c r="Q131" s="226" t="s">
        <v>118</v>
      </c>
      <c r="R131" s="226" t="s">
        <v>52</v>
      </c>
      <c r="S131" s="227">
        <f t="shared" si="110"/>
        <v>0.16107382550335569</v>
      </c>
      <c r="T131" s="228">
        <f>T129</f>
        <v>48</v>
      </c>
      <c r="U131" s="191">
        <v>1</v>
      </c>
      <c r="V131" s="192">
        <f t="shared" si="111"/>
        <v>3.3557046979865771E-3</v>
      </c>
      <c r="W131" s="235">
        <v>2500</v>
      </c>
      <c r="X131" s="204"/>
      <c r="Y131" s="195">
        <f t="shared" si="112"/>
        <v>8.3892617449664435</v>
      </c>
      <c r="AA131" s="205">
        <v>10</v>
      </c>
      <c r="AB131" s="226" t="s">
        <v>118</v>
      </c>
      <c r="AC131" s="226" t="s">
        <v>52</v>
      </c>
      <c r="AD131" s="227">
        <f t="shared" si="113"/>
        <v>0.33892617449664431</v>
      </c>
      <c r="AE131" s="228">
        <f>AE129</f>
        <v>101</v>
      </c>
      <c r="AF131" s="191">
        <v>1</v>
      </c>
      <c r="AG131" s="192">
        <f t="shared" si="114"/>
        <v>3.3557046979865771E-3</v>
      </c>
      <c r="AH131" s="235">
        <v>2500</v>
      </c>
      <c r="AI131" s="204"/>
      <c r="AJ131" s="195">
        <f t="shared" si="115"/>
        <v>8.3892617449664435</v>
      </c>
      <c r="AK131" s="205"/>
      <c r="AL131" s="197"/>
      <c r="AM131" s="205">
        <v>9</v>
      </c>
      <c r="AN131" s="226" t="s">
        <v>118</v>
      </c>
      <c r="AO131" s="226" t="s">
        <v>52</v>
      </c>
      <c r="AP131" s="227">
        <v>0.5</v>
      </c>
      <c r="AQ131" s="228">
        <f>AQ129</f>
        <v>149</v>
      </c>
      <c r="AR131" s="191">
        <v>1</v>
      </c>
      <c r="AS131" s="192">
        <f t="shared" si="116"/>
        <v>3.3557046979865771E-3</v>
      </c>
      <c r="AT131" s="235">
        <v>2500</v>
      </c>
      <c r="AU131" s="204"/>
      <c r="AV131" s="195">
        <f t="shared" si="117"/>
        <v>8.3892617449664435</v>
      </c>
      <c r="AW131" s="205"/>
      <c r="AX131" s="5">
        <v>290</v>
      </c>
      <c r="AY131" s="233">
        <f t="shared" si="123"/>
        <v>1250</v>
      </c>
      <c r="AZ131" s="231">
        <f t="shared" si="118"/>
        <v>1250</v>
      </c>
      <c r="BA131" s="234">
        <f t="shared" si="119"/>
        <v>2500</v>
      </c>
      <c r="BB131" s="39" t="s">
        <v>240</v>
      </c>
    </row>
    <row r="132" spans="1:58" ht="30" customHeight="1">
      <c r="A132" s="746"/>
      <c r="B132" s="748"/>
      <c r="C132" s="235" t="e">
        <f>'расчет по услугам'!#REF!</f>
        <v>#REF!</v>
      </c>
      <c r="D132" s="224" t="s">
        <v>130</v>
      </c>
      <c r="E132" s="753" t="e">
        <f>'расчет по услугам'!#REF!</f>
        <v>#REF!</v>
      </c>
      <c r="F132" s="753"/>
      <c r="G132" s="191">
        <v>1</v>
      </c>
      <c r="H132" s="192" t="e">
        <f>F132*G132/#REF!</f>
        <v>#REF!</v>
      </c>
      <c r="I132" s="235">
        <v>900</v>
      </c>
      <c r="J132" s="204"/>
      <c r="K132" s="237" t="e">
        <f t="shared" si="109"/>
        <v>#REF!</v>
      </c>
      <c r="L132" s="205"/>
      <c r="M132" s="274"/>
      <c r="Q132" s="226" t="s">
        <v>119</v>
      </c>
      <c r="R132" s="226" t="s">
        <v>52</v>
      </c>
      <c r="S132" s="227">
        <f t="shared" si="110"/>
        <v>0.16107382550335569</v>
      </c>
      <c r="T132" s="228">
        <f t="shared" si="120"/>
        <v>48</v>
      </c>
      <c r="U132" s="191">
        <v>1</v>
      </c>
      <c r="V132" s="192">
        <f>S132*U132/T132</f>
        <v>3.3557046979865771E-3</v>
      </c>
      <c r="W132" s="235">
        <v>900</v>
      </c>
      <c r="X132" s="204"/>
      <c r="Y132" s="237">
        <f t="shared" si="112"/>
        <v>3.0201342281879193</v>
      </c>
      <c r="AA132" s="205">
        <v>11</v>
      </c>
      <c r="AB132" s="226" t="s">
        <v>119</v>
      </c>
      <c r="AC132" s="226" t="s">
        <v>52</v>
      </c>
      <c r="AD132" s="227">
        <f t="shared" si="113"/>
        <v>0.33892617449664431</v>
      </c>
      <c r="AE132" s="228">
        <f t="shared" si="121"/>
        <v>101</v>
      </c>
      <c r="AF132" s="191">
        <v>1</v>
      </c>
      <c r="AG132" s="192">
        <f>AD132*AF132/AE132</f>
        <v>3.3557046979865771E-3</v>
      </c>
      <c r="AH132" s="235">
        <v>900</v>
      </c>
      <c r="AI132" s="204"/>
      <c r="AJ132" s="237">
        <f t="shared" si="115"/>
        <v>3.0201342281879193</v>
      </c>
      <c r="AK132" s="205"/>
      <c r="AL132" s="197"/>
      <c r="AM132" s="205">
        <v>10</v>
      </c>
      <c r="AN132" s="226" t="s">
        <v>119</v>
      </c>
      <c r="AO132" s="226" t="s">
        <v>52</v>
      </c>
      <c r="AP132" s="227">
        <v>0.5</v>
      </c>
      <c r="AQ132" s="228">
        <f t="shared" si="122"/>
        <v>149</v>
      </c>
      <c r="AR132" s="191">
        <v>1</v>
      </c>
      <c r="AS132" s="192">
        <f t="shared" si="116"/>
        <v>3.3557046979865771E-3</v>
      </c>
      <c r="AT132" s="235">
        <v>900</v>
      </c>
      <c r="AU132" s="204"/>
      <c r="AV132" s="237">
        <f t="shared" si="117"/>
        <v>3.0201342281879193</v>
      </c>
      <c r="AW132" s="205"/>
      <c r="AX132" s="5">
        <v>212</v>
      </c>
      <c r="AY132" s="233">
        <f t="shared" si="123"/>
        <v>450</v>
      </c>
      <c r="AZ132" s="231">
        <f t="shared" si="118"/>
        <v>450</v>
      </c>
      <c r="BA132" s="234">
        <f t="shared" si="119"/>
        <v>900</v>
      </c>
      <c r="BB132" s="39" t="s">
        <v>240</v>
      </c>
    </row>
    <row r="133" spans="1:58" ht="30" customHeight="1">
      <c r="A133" s="746"/>
      <c r="B133" s="748"/>
      <c r="C133" s="235" t="e">
        <f>'расчет по услугам'!#REF!</f>
        <v>#REF!</v>
      </c>
      <c r="D133" s="224" t="s">
        <v>130</v>
      </c>
      <c r="E133" s="753" t="e">
        <f>'расчет по услугам'!#REF!</f>
        <v>#REF!</v>
      </c>
      <c r="F133" s="753"/>
      <c r="G133" s="191">
        <v>1</v>
      </c>
      <c r="H133" s="192" t="e">
        <f>F133*G133/#REF!</f>
        <v>#REF!</v>
      </c>
      <c r="I133" s="225">
        <v>5950</v>
      </c>
      <c r="J133" s="204"/>
      <c r="K133" s="195" t="e">
        <f t="shared" si="109"/>
        <v>#REF!</v>
      </c>
      <c r="L133" s="205"/>
      <c r="M133" s="274"/>
      <c r="Q133" s="226" t="s">
        <v>121</v>
      </c>
      <c r="R133" s="226" t="s">
        <v>52</v>
      </c>
      <c r="S133" s="227">
        <f>10/149*T133</f>
        <v>3.2214765100671139</v>
      </c>
      <c r="T133" s="228">
        <f t="shared" si="120"/>
        <v>48</v>
      </c>
      <c r="U133" s="191">
        <v>1</v>
      </c>
      <c r="V133" s="192">
        <f t="shared" ref="V133:V139" si="124">S133*U133/T133</f>
        <v>6.7114093959731544E-2</v>
      </c>
      <c r="W133" s="225">
        <v>5950</v>
      </c>
      <c r="X133" s="204"/>
      <c r="Y133" s="195">
        <f t="shared" si="112"/>
        <v>399.32885906040269</v>
      </c>
      <c r="AA133" s="205">
        <v>12</v>
      </c>
      <c r="AB133" s="226" t="s">
        <v>121</v>
      </c>
      <c r="AC133" s="226" t="s">
        <v>52</v>
      </c>
      <c r="AD133" s="227">
        <f>10/149*AE133</f>
        <v>6.7785234899328861</v>
      </c>
      <c r="AE133" s="228">
        <f t="shared" si="121"/>
        <v>101</v>
      </c>
      <c r="AF133" s="191">
        <v>1</v>
      </c>
      <c r="AG133" s="192">
        <f t="shared" ref="AG133:AG139" si="125">AD133*AF133/AE133</f>
        <v>6.7114093959731544E-2</v>
      </c>
      <c r="AH133" s="225">
        <v>5950</v>
      </c>
      <c r="AI133" s="204"/>
      <c r="AJ133" s="195">
        <f t="shared" si="115"/>
        <v>399.32885906040269</v>
      </c>
      <c r="AK133" s="205"/>
      <c r="AL133" s="197"/>
      <c r="AM133" s="205">
        <v>11</v>
      </c>
      <c r="AN133" s="226" t="s">
        <v>121</v>
      </c>
      <c r="AO133" s="229" t="s">
        <v>52</v>
      </c>
      <c r="AP133" s="227">
        <v>10</v>
      </c>
      <c r="AQ133" s="228">
        <f t="shared" si="122"/>
        <v>149</v>
      </c>
      <c r="AR133" s="191">
        <v>1</v>
      </c>
      <c r="AS133" s="192">
        <f t="shared" si="116"/>
        <v>6.7114093959731544E-2</v>
      </c>
      <c r="AT133" s="225">
        <v>5950</v>
      </c>
      <c r="AU133" s="204"/>
      <c r="AV133" s="195">
        <f t="shared" si="117"/>
        <v>399.32885906040269</v>
      </c>
      <c r="AW133" s="205"/>
      <c r="AX133" s="5">
        <v>226</v>
      </c>
      <c r="AY133" s="233">
        <f t="shared" si="123"/>
        <v>59500</v>
      </c>
      <c r="AZ133" s="231">
        <f t="shared" si="118"/>
        <v>59500</v>
      </c>
      <c r="BA133" s="234">
        <f t="shared" si="119"/>
        <v>119000</v>
      </c>
      <c r="BB133" s="39" t="s">
        <v>240</v>
      </c>
    </row>
    <row r="134" spans="1:58" ht="30" customHeight="1">
      <c r="A134" s="746"/>
      <c r="B134" s="748"/>
      <c r="C134" s="235" t="e">
        <f>'расчет по услугам'!#REF!</f>
        <v>#REF!</v>
      </c>
      <c r="D134" s="238" t="s">
        <v>130</v>
      </c>
      <c r="E134" s="753" t="e">
        <f>'расчет по услугам'!#REF!</f>
        <v>#REF!</v>
      </c>
      <c r="F134" s="753"/>
      <c r="G134" s="191">
        <v>1</v>
      </c>
      <c r="H134" s="192" t="e">
        <f>F134*G134/#REF!</f>
        <v>#REF!</v>
      </c>
      <c r="I134" s="225">
        <v>71000</v>
      </c>
      <c r="J134" s="204"/>
      <c r="K134" s="195" t="e">
        <f t="shared" si="109"/>
        <v>#REF!</v>
      </c>
      <c r="L134" s="205"/>
      <c r="M134" s="274"/>
      <c r="Q134" s="226" t="s">
        <v>246</v>
      </c>
      <c r="R134" s="226" t="s">
        <v>52</v>
      </c>
      <c r="S134" s="227">
        <f>0.5/149*T134</f>
        <v>0.16107382550335569</v>
      </c>
      <c r="T134" s="228">
        <f t="shared" si="120"/>
        <v>48</v>
      </c>
      <c r="U134" s="191">
        <v>1</v>
      </c>
      <c r="V134" s="192">
        <f t="shared" si="124"/>
        <v>3.3557046979865771E-3</v>
      </c>
      <c r="W134" s="225">
        <v>71000</v>
      </c>
      <c r="X134" s="204"/>
      <c r="Y134" s="195">
        <f t="shared" si="112"/>
        <v>238.25503355704697</v>
      </c>
      <c r="AA134" s="205">
        <v>13</v>
      </c>
      <c r="AB134" s="226" t="s">
        <v>246</v>
      </c>
      <c r="AC134" s="226" t="s">
        <v>52</v>
      </c>
      <c r="AD134" s="227">
        <f>0.5/149*AE134</f>
        <v>0.33892617449664431</v>
      </c>
      <c r="AE134" s="228">
        <f t="shared" si="121"/>
        <v>101</v>
      </c>
      <c r="AF134" s="191">
        <v>1</v>
      </c>
      <c r="AG134" s="192">
        <f t="shared" si="125"/>
        <v>3.3557046979865771E-3</v>
      </c>
      <c r="AH134" s="225">
        <v>71000</v>
      </c>
      <c r="AI134" s="204"/>
      <c r="AJ134" s="195">
        <f t="shared" si="115"/>
        <v>238.25503355704697</v>
      </c>
      <c r="AK134" s="205"/>
      <c r="AL134" s="197"/>
      <c r="AM134" s="205">
        <v>12</v>
      </c>
      <c r="AN134" s="226" t="s">
        <v>246</v>
      </c>
      <c r="AO134" s="229" t="s">
        <v>52</v>
      </c>
      <c r="AP134" s="227">
        <v>0.5</v>
      </c>
      <c r="AQ134" s="228">
        <f t="shared" si="122"/>
        <v>149</v>
      </c>
      <c r="AR134" s="191">
        <v>1</v>
      </c>
      <c r="AS134" s="192">
        <f t="shared" si="116"/>
        <v>3.3557046979865771E-3</v>
      </c>
      <c r="AT134" s="225">
        <v>71000</v>
      </c>
      <c r="AU134" s="204"/>
      <c r="AV134" s="195">
        <f t="shared" si="117"/>
        <v>238.25503355704697</v>
      </c>
      <c r="AW134" s="205"/>
      <c r="AX134" s="5">
        <v>226</v>
      </c>
      <c r="AY134" s="233">
        <f t="shared" si="123"/>
        <v>35500</v>
      </c>
      <c r="AZ134" s="231">
        <f t="shared" si="118"/>
        <v>35500</v>
      </c>
      <c r="BA134" s="234">
        <f t="shared" si="119"/>
        <v>71000</v>
      </c>
      <c r="BB134" s="39" t="s">
        <v>240</v>
      </c>
    </row>
    <row r="135" spans="1:58" ht="49.5" customHeight="1">
      <c r="A135" s="746"/>
      <c r="B135" s="748"/>
      <c r="C135" s="235" t="e">
        <f>'расчет по услугам'!#REF!</f>
        <v>#REF!</v>
      </c>
      <c r="D135" s="238" t="s">
        <v>130</v>
      </c>
      <c r="E135" s="753" t="e">
        <f>'расчет по услугам'!#REF!</f>
        <v>#REF!</v>
      </c>
      <c r="F135" s="753"/>
      <c r="G135" s="191">
        <v>1</v>
      </c>
      <c r="H135" s="192" t="e">
        <f>F135*G135/#REF!</f>
        <v>#REF!</v>
      </c>
      <c r="I135" s="235">
        <v>10000</v>
      </c>
      <c r="J135" s="204"/>
      <c r="K135" s="195" t="e">
        <f t="shared" si="109"/>
        <v>#REF!</v>
      </c>
      <c r="L135" s="205"/>
      <c r="M135" s="274"/>
      <c r="Q135" s="226" t="s">
        <v>247</v>
      </c>
      <c r="R135" s="226" t="s">
        <v>52</v>
      </c>
      <c r="S135" s="227">
        <f>0.5/149*T135</f>
        <v>0.16107382550335569</v>
      </c>
      <c r="T135" s="228">
        <f t="shared" si="120"/>
        <v>48</v>
      </c>
      <c r="U135" s="191">
        <v>1</v>
      </c>
      <c r="V135" s="192">
        <f t="shared" si="124"/>
        <v>3.3557046979865771E-3</v>
      </c>
      <c r="W135" s="235">
        <v>10000</v>
      </c>
      <c r="X135" s="204"/>
      <c r="Y135" s="195">
        <f t="shared" si="112"/>
        <v>33.557046979865774</v>
      </c>
      <c r="AA135" s="205">
        <v>14</v>
      </c>
      <c r="AB135" s="226" t="s">
        <v>247</v>
      </c>
      <c r="AC135" s="226" t="s">
        <v>52</v>
      </c>
      <c r="AD135" s="227">
        <f>0.5/149*AE135</f>
        <v>0.33892617449664431</v>
      </c>
      <c r="AE135" s="228">
        <f t="shared" si="121"/>
        <v>101</v>
      </c>
      <c r="AF135" s="191">
        <v>1</v>
      </c>
      <c r="AG135" s="192">
        <f t="shared" si="125"/>
        <v>3.3557046979865771E-3</v>
      </c>
      <c r="AH135" s="235">
        <v>10000</v>
      </c>
      <c r="AI135" s="204"/>
      <c r="AJ135" s="195">
        <f t="shared" si="115"/>
        <v>33.557046979865774</v>
      </c>
      <c r="AK135" s="205"/>
      <c r="AL135" s="197"/>
      <c r="AM135" s="205">
        <v>13</v>
      </c>
      <c r="AN135" s="226" t="s">
        <v>247</v>
      </c>
      <c r="AO135" s="226" t="s">
        <v>52</v>
      </c>
      <c r="AP135" s="227">
        <v>0.5</v>
      </c>
      <c r="AQ135" s="228">
        <f t="shared" si="122"/>
        <v>149</v>
      </c>
      <c r="AR135" s="191">
        <v>1</v>
      </c>
      <c r="AS135" s="192">
        <f t="shared" si="116"/>
        <v>3.3557046979865771E-3</v>
      </c>
      <c r="AT135" s="235">
        <v>10000</v>
      </c>
      <c r="AU135" s="204"/>
      <c r="AV135" s="195">
        <f t="shared" si="117"/>
        <v>33.557046979865774</v>
      </c>
      <c r="AW135" s="205"/>
      <c r="AX135" s="5">
        <v>226</v>
      </c>
      <c r="AY135" s="233">
        <f t="shared" si="123"/>
        <v>5000</v>
      </c>
      <c r="AZ135" s="231">
        <f t="shared" si="118"/>
        <v>5000</v>
      </c>
      <c r="BA135" s="234">
        <f t="shared" si="119"/>
        <v>10000</v>
      </c>
      <c r="BB135" s="39" t="s">
        <v>240</v>
      </c>
    </row>
    <row r="136" spans="1:58" ht="59.25" customHeight="1">
      <c r="A136" s="746"/>
      <c r="B136" s="748"/>
      <c r="C136" s="235" t="e">
        <f>'расчет по услугам'!#REF!</f>
        <v>#REF!</v>
      </c>
      <c r="D136" s="238" t="s">
        <v>130</v>
      </c>
      <c r="E136" s="753" t="e">
        <f>'расчет по услугам'!#REF!</f>
        <v>#REF!</v>
      </c>
      <c r="F136" s="753"/>
      <c r="G136" s="191">
        <v>1</v>
      </c>
      <c r="H136" s="192" t="e">
        <f>F136*G136/#REF!</f>
        <v>#REF!</v>
      </c>
      <c r="I136" s="225">
        <v>10000</v>
      </c>
      <c r="J136" s="204"/>
      <c r="K136" s="195" t="e">
        <f t="shared" si="109"/>
        <v>#REF!</v>
      </c>
      <c r="L136" s="205"/>
      <c r="M136" s="274"/>
      <c r="Q136" s="226" t="s">
        <v>248</v>
      </c>
      <c r="R136" s="226" t="s">
        <v>52</v>
      </c>
      <c r="S136" s="227">
        <f>0.5/149*T136</f>
        <v>0.16107382550335569</v>
      </c>
      <c r="T136" s="228">
        <f t="shared" si="120"/>
        <v>48</v>
      </c>
      <c r="U136" s="191">
        <v>1</v>
      </c>
      <c r="V136" s="192">
        <f t="shared" si="124"/>
        <v>3.3557046979865771E-3</v>
      </c>
      <c r="W136" s="225">
        <v>10000</v>
      </c>
      <c r="X136" s="204"/>
      <c r="Y136" s="195">
        <f t="shared" si="112"/>
        <v>33.557046979865774</v>
      </c>
      <c r="AA136" s="205">
        <v>15</v>
      </c>
      <c r="AB136" s="226" t="s">
        <v>248</v>
      </c>
      <c r="AC136" s="226" t="s">
        <v>52</v>
      </c>
      <c r="AD136" s="227">
        <f>0.5/149*AE136</f>
        <v>0.33892617449664431</v>
      </c>
      <c r="AE136" s="228">
        <f t="shared" si="121"/>
        <v>101</v>
      </c>
      <c r="AF136" s="191">
        <v>1</v>
      </c>
      <c r="AG136" s="192">
        <f t="shared" si="125"/>
        <v>3.3557046979865771E-3</v>
      </c>
      <c r="AH136" s="225">
        <v>10000</v>
      </c>
      <c r="AI136" s="204"/>
      <c r="AJ136" s="195">
        <f t="shared" si="115"/>
        <v>33.557046979865774</v>
      </c>
      <c r="AK136" s="205"/>
      <c r="AL136" s="197"/>
      <c r="AM136" s="205">
        <v>14</v>
      </c>
      <c r="AN136" s="226" t="s">
        <v>248</v>
      </c>
      <c r="AO136" s="229" t="s">
        <v>52</v>
      </c>
      <c r="AP136" s="227">
        <v>0.5</v>
      </c>
      <c r="AQ136" s="228">
        <f t="shared" si="122"/>
        <v>149</v>
      </c>
      <c r="AR136" s="191">
        <v>1</v>
      </c>
      <c r="AS136" s="192">
        <f t="shared" si="116"/>
        <v>3.3557046979865771E-3</v>
      </c>
      <c r="AT136" s="225">
        <v>10000</v>
      </c>
      <c r="AU136" s="204"/>
      <c r="AV136" s="195">
        <f t="shared" si="117"/>
        <v>33.557046979865774</v>
      </c>
      <c r="AW136" s="205"/>
      <c r="AX136" s="5">
        <v>226</v>
      </c>
      <c r="AY136" s="233">
        <f t="shared" si="123"/>
        <v>5000</v>
      </c>
      <c r="AZ136" s="231">
        <f t="shared" si="118"/>
        <v>5000</v>
      </c>
      <c r="BA136" s="234">
        <f t="shared" si="119"/>
        <v>10000</v>
      </c>
      <c r="BB136" s="39" t="s">
        <v>240</v>
      </c>
    </row>
    <row r="137" spans="1:58" ht="30" customHeight="1">
      <c r="A137" s="746"/>
      <c r="B137" s="748"/>
      <c r="C137" s="235" t="e">
        <f>'расчет по услугам'!#REF!</f>
        <v>#REF!</v>
      </c>
      <c r="D137" s="238" t="s">
        <v>130</v>
      </c>
      <c r="E137" s="753" t="e">
        <f>'расчет по услугам'!#REF!</f>
        <v>#REF!</v>
      </c>
      <c r="F137" s="753"/>
      <c r="G137" s="191">
        <v>1</v>
      </c>
      <c r="H137" s="192" t="e">
        <f>F137*G137/#REF!</f>
        <v>#REF!</v>
      </c>
      <c r="I137" s="235">
        <v>30000</v>
      </c>
      <c r="J137" s="204"/>
      <c r="K137" s="195" t="e">
        <f t="shared" si="109"/>
        <v>#REF!</v>
      </c>
      <c r="L137" s="205"/>
      <c r="M137" s="274"/>
      <c r="Q137" s="226" t="s">
        <v>168</v>
      </c>
      <c r="R137" s="226" t="s">
        <v>52</v>
      </c>
      <c r="S137" s="227">
        <f>0.5/149*T137</f>
        <v>0.16107382550335569</v>
      </c>
      <c r="T137" s="228">
        <f t="shared" si="120"/>
        <v>48</v>
      </c>
      <c r="U137" s="191">
        <v>1</v>
      </c>
      <c r="V137" s="192">
        <f t="shared" si="124"/>
        <v>3.3557046979865771E-3</v>
      </c>
      <c r="W137" s="235">
        <v>30000</v>
      </c>
      <c r="X137" s="204"/>
      <c r="Y137" s="195">
        <f t="shared" si="112"/>
        <v>100.67114093959731</v>
      </c>
      <c r="AA137" s="205">
        <v>16</v>
      </c>
      <c r="AB137" s="226" t="s">
        <v>168</v>
      </c>
      <c r="AC137" s="226" t="s">
        <v>52</v>
      </c>
      <c r="AD137" s="227">
        <f>0.5/149*AE137</f>
        <v>0.33892617449664431</v>
      </c>
      <c r="AE137" s="228">
        <f t="shared" si="121"/>
        <v>101</v>
      </c>
      <c r="AF137" s="191">
        <v>1</v>
      </c>
      <c r="AG137" s="192">
        <f t="shared" si="125"/>
        <v>3.3557046979865771E-3</v>
      </c>
      <c r="AH137" s="235">
        <v>30000</v>
      </c>
      <c r="AI137" s="204"/>
      <c r="AJ137" s="195">
        <f t="shared" si="115"/>
        <v>100.67114093959731</v>
      </c>
      <c r="AK137" s="205"/>
      <c r="AL137" s="197"/>
      <c r="AM137" s="205">
        <v>15</v>
      </c>
      <c r="AN137" s="226" t="s">
        <v>168</v>
      </c>
      <c r="AO137" s="226" t="s">
        <v>52</v>
      </c>
      <c r="AP137" s="227">
        <v>0.5</v>
      </c>
      <c r="AQ137" s="228">
        <f t="shared" si="122"/>
        <v>149</v>
      </c>
      <c r="AR137" s="191">
        <v>1</v>
      </c>
      <c r="AS137" s="192">
        <f t="shared" si="116"/>
        <v>3.3557046979865771E-3</v>
      </c>
      <c r="AT137" s="235">
        <v>30000</v>
      </c>
      <c r="AU137" s="204"/>
      <c r="AV137" s="195">
        <f>AS137*AT137</f>
        <v>100.67114093959731</v>
      </c>
      <c r="AW137" s="205"/>
      <c r="AX137" s="5">
        <v>226</v>
      </c>
      <c r="AY137" s="233">
        <f t="shared" si="123"/>
        <v>14999.999999999998</v>
      </c>
      <c r="AZ137" s="231">
        <f t="shared" si="118"/>
        <v>14999.999999999998</v>
      </c>
      <c r="BA137" s="234">
        <f t="shared" si="119"/>
        <v>29999.999999999996</v>
      </c>
      <c r="BB137" s="107" t="s">
        <v>240</v>
      </c>
      <c r="BC137" s="24">
        <f>BA137+BA136+BA135+BA134+BA133+BA129+BA128+BA127+BA126+BA125+BA124+AY54+AY56+BA130</f>
        <v>772488.28859060409</v>
      </c>
    </row>
    <row r="138" spans="1:58" ht="30" customHeight="1">
      <c r="A138" s="746"/>
      <c r="B138" s="748"/>
      <c r="C138" s="235" t="e">
        <f>'расчет по услугам'!#REF!</f>
        <v>#REF!</v>
      </c>
      <c r="D138" s="238" t="s">
        <v>130</v>
      </c>
      <c r="E138" s="753" t="e">
        <f>'расчет по услугам'!#REF!</f>
        <v>#REF!</v>
      </c>
      <c r="F138" s="753"/>
      <c r="G138" s="191">
        <v>1</v>
      </c>
      <c r="H138" s="192" t="e">
        <f>F138*G138/#REF!</f>
        <v>#REF!</v>
      </c>
      <c r="I138" s="235">
        <v>13350</v>
      </c>
      <c r="J138" s="204"/>
      <c r="K138" s="195" t="e">
        <f t="shared" si="109"/>
        <v>#REF!</v>
      </c>
      <c r="L138" s="205"/>
      <c r="M138" s="274"/>
      <c r="Q138" s="226" t="s">
        <v>249</v>
      </c>
      <c r="R138" s="226" t="s">
        <v>52</v>
      </c>
      <c r="S138" s="227">
        <f>1/149*T138</f>
        <v>0.32214765100671139</v>
      </c>
      <c r="T138" s="228">
        <f t="shared" si="120"/>
        <v>48</v>
      </c>
      <c r="U138" s="191">
        <v>1</v>
      </c>
      <c r="V138" s="192">
        <f t="shared" si="124"/>
        <v>6.7114093959731542E-3</v>
      </c>
      <c r="W138" s="235">
        <v>13350</v>
      </c>
      <c r="X138" s="204"/>
      <c r="Y138" s="195">
        <f t="shared" si="112"/>
        <v>89.597315436241615</v>
      </c>
      <c r="AA138" s="205">
        <v>17</v>
      </c>
      <c r="AB138" s="226" t="s">
        <v>249</v>
      </c>
      <c r="AC138" s="226" t="s">
        <v>52</v>
      </c>
      <c r="AD138" s="227">
        <f>1/149*AE138</f>
        <v>0.67785234899328861</v>
      </c>
      <c r="AE138" s="228">
        <f t="shared" si="121"/>
        <v>101</v>
      </c>
      <c r="AF138" s="191">
        <v>1</v>
      </c>
      <c r="AG138" s="192">
        <f t="shared" si="125"/>
        <v>6.7114093959731542E-3</v>
      </c>
      <c r="AH138" s="235">
        <v>13350</v>
      </c>
      <c r="AI138" s="204"/>
      <c r="AJ138" s="195">
        <f t="shared" si="115"/>
        <v>89.597315436241615</v>
      </c>
      <c r="AK138" s="205"/>
      <c r="AL138" s="197"/>
      <c r="AM138" s="205">
        <v>16</v>
      </c>
      <c r="AN138" s="226" t="s">
        <v>249</v>
      </c>
      <c r="AO138" s="226" t="s">
        <v>52</v>
      </c>
      <c r="AP138" s="227">
        <v>1</v>
      </c>
      <c r="AQ138" s="228">
        <f t="shared" si="122"/>
        <v>149</v>
      </c>
      <c r="AR138" s="191">
        <v>1</v>
      </c>
      <c r="AS138" s="192">
        <f t="shared" si="116"/>
        <v>6.7114093959731542E-3</v>
      </c>
      <c r="AT138" s="235">
        <v>13350</v>
      </c>
      <c r="AU138" s="204"/>
      <c r="AV138" s="195">
        <f t="shared" ref="AV138:AV141" si="126">AS138*AT138</f>
        <v>89.597315436241615</v>
      </c>
      <c r="AW138" s="205"/>
      <c r="AX138" s="5" t="s">
        <v>250</v>
      </c>
      <c r="AY138" s="233">
        <f t="shared" si="123"/>
        <v>13350</v>
      </c>
      <c r="AZ138" s="231">
        <f t="shared" si="118"/>
        <v>13350</v>
      </c>
      <c r="BA138" s="234">
        <f t="shared" si="119"/>
        <v>26700</v>
      </c>
      <c r="BB138" s="39"/>
    </row>
    <row r="139" spans="1:58" ht="39" customHeight="1">
      <c r="A139" s="746"/>
      <c r="B139" s="748"/>
      <c r="C139" s="235" t="e">
        <f>'расчет по услугам'!#REF!</f>
        <v>#REF!</v>
      </c>
      <c r="D139" s="239"/>
      <c r="E139" s="753" t="e">
        <f>'расчет по услугам'!#REF!</f>
        <v>#REF!</v>
      </c>
      <c r="F139" s="753"/>
      <c r="G139" s="191">
        <v>1</v>
      </c>
      <c r="H139" s="192" t="e">
        <f>F139*G139/#REF!</f>
        <v>#REF!</v>
      </c>
      <c r="I139" s="235">
        <v>3800</v>
      </c>
      <c r="J139" s="204"/>
      <c r="K139" s="195" t="e">
        <f t="shared" si="109"/>
        <v>#REF!</v>
      </c>
      <c r="L139" s="205"/>
      <c r="M139" s="274"/>
      <c r="Q139" s="226" t="s">
        <v>251</v>
      </c>
      <c r="R139" s="226" t="s">
        <v>252</v>
      </c>
      <c r="S139" s="227">
        <f>2/149*T139</f>
        <v>0.64429530201342278</v>
      </c>
      <c r="T139" s="228">
        <f t="shared" si="120"/>
        <v>48</v>
      </c>
      <c r="U139" s="191">
        <v>1</v>
      </c>
      <c r="V139" s="192">
        <f t="shared" si="124"/>
        <v>1.3422818791946308E-2</v>
      </c>
      <c r="W139" s="235">
        <v>3800</v>
      </c>
      <c r="X139" s="204"/>
      <c r="Y139" s="195">
        <f t="shared" si="112"/>
        <v>51.006711409395969</v>
      </c>
      <c r="AA139" s="205">
        <v>18</v>
      </c>
      <c r="AB139" s="226" t="s">
        <v>251</v>
      </c>
      <c r="AC139" s="226" t="s">
        <v>252</v>
      </c>
      <c r="AD139" s="227">
        <f>2/149*AE139</f>
        <v>1.3557046979865772</v>
      </c>
      <c r="AE139" s="228">
        <f t="shared" si="121"/>
        <v>101</v>
      </c>
      <c r="AF139" s="191">
        <v>1</v>
      </c>
      <c r="AG139" s="192">
        <f t="shared" si="125"/>
        <v>1.3422818791946308E-2</v>
      </c>
      <c r="AH139" s="235">
        <v>3800</v>
      </c>
      <c r="AI139" s="204"/>
      <c r="AJ139" s="195">
        <f t="shared" si="115"/>
        <v>51.006711409395969</v>
      </c>
      <c r="AK139" s="205"/>
      <c r="AL139" s="197"/>
      <c r="AM139" s="205">
        <v>17</v>
      </c>
      <c r="AN139" s="226" t="s">
        <v>253</v>
      </c>
      <c r="AO139" s="229" t="s">
        <v>254</v>
      </c>
      <c r="AP139" s="227">
        <v>5</v>
      </c>
      <c r="AQ139" s="228">
        <f t="shared" si="122"/>
        <v>149</v>
      </c>
      <c r="AR139" s="191">
        <v>1</v>
      </c>
      <c r="AS139" s="192">
        <f t="shared" si="116"/>
        <v>3.3557046979865772E-2</v>
      </c>
      <c r="AT139" s="225">
        <v>3000</v>
      </c>
      <c r="AU139" s="204"/>
      <c r="AV139" s="195">
        <f t="shared" si="126"/>
        <v>100.67114093959732</v>
      </c>
      <c r="AW139" s="205"/>
      <c r="AX139" s="5">
        <v>340</v>
      </c>
      <c r="AY139" s="233">
        <f t="shared" si="123"/>
        <v>7599.9999999999991</v>
      </c>
      <c r="AZ139" s="231">
        <f t="shared" si="118"/>
        <v>15000.000000000002</v>
      </c>
      <c r="BA139" s="232">
        <f t="shared" si="119"/>
        <v>22600</v>
      </c>
      <c r="BB139" s="39"/>
    </row>
    <row r="140" spans="1:58" ht="30" customHeight="1">
      <c r="A140" s="746"/>
      <c r="B140" s="748"/>
      <c r="C140" s="235" t="e">
        <f>'расчет по услугам'!#REF!</f>
        <v>#REF!</v>
      </c>
      <c r="D140" s="238" t="s">
        <v>130</v>
      </c>
      <c r="E140" s="753" t="e">
        <f>'расчет по услугам'!#REF!</f>
        <v>#REF!</v>
      </c>
      <c r="F140" s="753"/>
      <c r="G140" s="191">
        <v>1</v>
      </c>
      <c r="H140" s="192" t="e">
        <f>F140*G140/#REF!</f>
        <v>#REF!</v>
      </c>
      <c r="I140" s="235">
        <v>60000</v>
      </c>
      <c r="J140" s="204"/>
      <c r="K140" s="195" t="e">
        <f t="shared" si="109"/>
        <v>#REF!</v>
      </c>
      <c r="L140" s="205"/>
      <c r="M140" s="274"/>
      <c r="Q140" s="226" t="s">
        <v>122</v>
      </c>
      <c r="R140" s="226" t="s">
        <v>52</v>
      </c>
      <c r="S140" s="227">
        <f>0.5/149*T140</f>
        <v>0.16107382550335569</v>
      </c>
      <c r="T140" s="228">
        <f t="shared" si="120"/>
        <v>48</v>
      </c>
      <c r="U140" s="191">
        <v>1</v>
      </c>
      <c r="V140" s="192">
        <f>S140*U140/T140</f>
        <v>3.3557046979865771E-3</v>
      </c>
      <c r="W140" s="235">
        <v>60000</v>
      </c>
      <c r="X140" s="204"/>
      <c r="Y140" s="195">
        <f t="shared" si="112"/>
        <v>201.34228187919462</v>
      </c>
      <c r="AA140" s="205">
        <v>19</v>
      </c>
      <c r="AB140" s="226" t="s">
        <v>122</v>
      </c>
      <c r="AC140" s="226" t="s">
        <v>52</v>
      </c>
      <c r="AD140" s="227">
        <f>0.5/149*AE140</f>
        <v>0.33892617449664431</v>
      </c>
      <c r="AE140" s="228">
        <f t="shared" si="121"/>
        <v>101</v>
      </c>
      <c r="AF140" s="191">
        <v>1</v>
      </c>
      <c r="AG140" s="192">
        <f>AD140*AF140/AE140</f>
        <v>3.3557046979865771E-3</v>
      </c>
      <c r="AH140" s="235">
        <v>60000</v>
      </c>
      <c r="AI140" s="204"/>
      <c r="AJ140" s="195">
        <f t="shared" si="115"/>
        <v>201.34228187919462</v>
      </c>
      <c r="AK140" s="205"/>
      <c r="AL140" s="197"/>
      <c r="AM140" s="205">
        <v>18</v>
      </c>
      <c r="AN140" s="226" t="s">
        <v>122</v>
      </c>
      <c r="AO140" s="226" t="s">
        <v>52</v>
      </c>
      <c r="AP140" s="227">
        <v>0.5</v>
      </c>
      <c r="AQ140" s="228">
        <f t="shared" si="122"/>
        <v>149</v>
      </c>
      <c r="AR140" s="191">
        <v>1</v>
      </c>
      <c r="AS140" s="192">
        <f t="shared" si="116"/>
        <v>3.3557046979865771E-3</v>
      </c>
      <c r="AT140" s="235">
        <v>60000</v>
      </c>
      <c r="AU140" s="204"/>
      <c r="AV140" s="195">
        <f t="shared" si="126"/>
        <v>201.34228187919462</v>
      </c>
      <c r="AW140" s="205"/>
      <c r="AX140" s="5">
        <v>340</v>
      </c>
      <c r="AY140" s="233">
        <f t="shared" si="123"/>
        <v>29999.999999999996</v>
      </c>
      <c r="AZ140" s="231">
        <f t="shared" si="118"/>
        <v>29999.999999999996</v>
      </c>
      <c r="BA140" s="232">
        <f t="shared" si="119"/>
        <v>59999.999999999993</v>
      </c>
      <c r="BB140" s="39"/>
    </row>
    <row r="141" spans="1:58" s="242" customFormat="1" ht="39.75" customHeight="1">
      <c r="A141" s="746"/>
      <c r="B141" s="748"/>
      <c r="C141" s="235" t="e">
        <f>'расчет по услугам'!#REF!</f>
        <v>#REF!</v>
      </c>
      <c r="D141" s="238" t="s">
        <v>130</v>
      </c>
      <c r="E141" s="753" t="e">
        <f>'расчет по услугам'!#REF!</f>
        <v>#REF!</v>
      </c>
      <c r="F141" s="753"/>
      <c r="G141" s="191">
        <v>1</v>
      </c>
      <c r="H141" s="192" t="e">
        <f>F141*G141/#REF!</f>
        <v>#REF!</v>
      </c>
      <c r="I141" s="235">
        <v>30000</v>
      </c>
      <c r="J141" s="204"/>
      <c r="K141" s="195" t="e">
        <f t="shared" si="109"/>
        <v>#REF!</v>
      </c>
      <c r="L141" s="240"/>
      <c r="M141" s="277"/>
      <c r="P141" s="243"/>
      <c r="Q141" s="226" t="s">
        <v>255</v>
      </c>
      <c r="R141" s="226" t="s">
        <v>52</v>
      </c>
      <c r="S141" s="227">
        <f>0.5/149*T141</f>
        <v>0.16107382550335569</v>
      </c>
      <c r="T141" s="228">
        <f t="shared" si="120"/>
        <v>48</v>
      </c>
      <c r="U141" s="191">
        <v>1</v>
      </c>
      <c r="V141" s="192">
        <f>S141*U141/T141</f>
        <v>3.3557046979865771E-3</v>
      </c>
      <c r="W141" s="235">
        <v>30000</v>
      </c>
      <c r="X141" s="204"/>
      <c r="Y141" s="195">
        <f t="shared" si="112"/>
        <v>100.67114093959731</v>
      </c>
      <c r="Z141" s="244"/>
      <c r="AA141" s="205">
        <v>20</v>
      </c>
      <c r="AB141" s="226" t="s">
        <v>255</v>
      </c>
      <c r="AC141" s="226" t="s">
        <v>52</v>
      </c>
      <c r="AD141" s="227">
        <f>0.5/149*AE141</f>
        <v>0.33892617449664431</v>
      </c>
      <c r="AE141" s="228">
        <f t="shared" si="121"/>
        <v>101</v>
      </c>
      <c r="AF141" s="191">
        <v>1</v>
      </c>
      <c r="AG141" s="192">
        <f>AD141*AF141/AE141</f>
        <v>3.3557046979865771E-3</v>
      </c>
      <c r="AH141" s="235">
        <v>30000</v>
      </c>
      <c r="AI141" s="204"/>
      <c r="AJ141" s="195">
        <f t="shared" si="115"/>
        <v>100.67114093959731</v>
      </c>
      <c r="AK141" s="240"/>
      <c r="AL141" s="241"/>
      <c r="AM141" s="205">
        <v>19</v>
      </c>
      <c r="AN141" s="226" t="s">
        <v>255</v>
      </c>
      <c r="AO141" s="226" t="s">
        <v>52</v>
      </c>
      <c r="AP141" s="227">
        <v>0.5</v>
      </c>
      <c r="AQ141" s="228">
        <f t="shared" si="122"/>
        <v>149</v>
      </c>
      <c r="AR141" s="191">
        <v>1</v>
      </c>
      <c r="AS141" s="192">
        <f>AP141*AR141/AQ141</f>
        <v>3.3557046979865771E-3</v>
      </c>
      <c r="AT141" s="235">
        <v>30000</v>
      </c>
      <c r="AU141" s="204"/>
      <c r="AV141" s="195">
        <f t="shared" si="126"/>
        <v>100.67114093959731</v>
      </c>
      <c r="AW141" s="240"/>
      <c r="AX141" s="5">
        <v>340</v>
      </c>
      <c r="AY141" s="233">
        <f t="shared" si="123"/>
        <v>14999.999999999998</v>
      </c>
      <c r="AZ141" s="231">
        <f t="shared" si="118"/>
        <v>14999.999999999998</v>
      </c>
      <c r="BA141" s="232">
        <f>AY141+AZ141</f>
        <v>29999.999999999996</v>
      </c>
      <c r="BB141" s="39"/>
    </row>
    <row r="142" spans="1:58" s="242" customFormat="1" ht="15" hidden="1" customHeight="1">
      <c r="A142" s="746"/>
      <c r="B142" s="748"/>
      <c r="C142" s="235" t="e">
        <f>'расчет по услугам'!#REF!</f>
        <v>#REF!</v>
      </c>
      <c r="D142" s="235"/>
      <c r="E142" s="753">
        <f>'[1]расчет свод'!S130</f>
        <v>0.14814814814814814</v>
      </c>
      <c r="F142" s="753"/>
      <c r="G142" s="191"/>
      <c r="H142" s="192"/>
      <c r="I142" s="235"/>
      <c r="J142" s="194"/>
      <c r="K142" s="195"/>
      <c r="L142" s="240"/>
      <c r="M142" s="277"/>
      <c r="P142" s="243"/>
      <c r="Q142" s="226"/>
      <c r="R142" s="226"/>
      <c r="S142" s="227"/>
      <c r="T142" s="228"/>
      <c r="U142" s="191"/>
      <c r="V142" s="192"/>
      <c r="W142" s="235"/>
      <c r="X142" s="194"/>
      <c r="Y142" s="195"/>
      <c r="Z142" s="244"/>
      <c r="AA142" s="205"/>
      <c r="AB142" s="226"/>
      <c r="AC142" s="226"/>
      <c r="AD142" s="227"/>
      <c r="AE142" s="228"/>
      <c r="AF142" s="191"/>
      <c r="AG142" s="192"/>
      <c r="AH142" s="235"/>
      <c r="AI142" s="194"/>
      <c r="AJ142" s="195"/>
      <c r="AK142" s="240"/>
      <c r="AL142" s="241"/>
      <c r="AM142" s="205"/>
      <c r="AN142" s="226"/>
      <c r="AO142" s="226"/>
      <c r="AP142" s="227"/>
      <c r="AQ142" s="228"/>
      <c r="AR142" s="191"/>
      <c r="AS142" s="192"/>
      <c r="AT142" s="235"/>
      <c r="AU142" s="194"/>
      <c r="AV142" s="195"/>
      <c r="AW142" s="240"/>
      <c r="AX142" s="5"/>
      <c r="AY142" s="233"/>
      <c r="AZ142" s="231"/>
      <c r="BA142" s="232"/>
      <c r="BB142" s="39"/>
    </row>
    <row r="143" spans="1:58" s="242" customFormat="1" ht="15" hidden="1" customHeight="1">
      <c r="A143" s="746"/>
      <c r="B143" s="748"/>
      <c r="C143" s="235" t="e">
        <f>'расчет по услугам'!#REF!</f>
        <v>#REF!</v>
      </c>
      <c r="D143" s="235"/>
      <c r="E143" s="753">
        <f>'[1]расчет свод'!S131</f>
        <v>0</v>
      </c>
      <c r="F143" s="753"/>
      <c r="G143" s="191"/>
      <c r="H143" s="192"/>
      <c r="I143" s="235"/>
      <c r="J143" s="194"/>
      <c r="K143" s="195"/>
      <c r="L143" s="240"/>
      <c r="M143" s="277"/>
      <c r="P143" s="243"/>
      <c r="Q143" s="226"/>
      <c r="R143" s="226"/>
      <c r="S143" s="227"/>
      <c r="T143" s="228"/>
      <c r="U143" s="191"/>
      <c r="V143" s="192"/>
      <c r="W143" s="235"/>
      <c r="X143" s="194"/>
      <c r="Y143" s="195"/>
      <c r="Z143" s="244"/>
      <c r="AA143" s="205"/>
      <c r="AB143" s="226"/>
      <c r="AC143" s="226"/>
      <c r="AD143" s="227"/>
      <c r="AE143" s="228"/>
      <c r="AF143" s="191"/>
      <c r="AG143" s="192"/>
      <c r="AH143" s="235"/>
      <c r="AI143" s="194"/>
      <c r="AJ143" s="195"/>
      <c r="AK143" s="240"/>
      <c r="AL143" s="241"/>
      <c r="AM143" s="205"/>
      <c r="AN143" s="226"/>
      <c r="AO143" s="226"/>
      <c r="AP143" s="227"/>
      <c r="AQ143" s="228"/>
      <c r="AR143" s="191"/>
      <c r="AS143" s="192"/>
      <c r="AT143" s="235"/>
      <c r="AU143" s="194"/>
      <c r="AV143" s="195"/>
      <c r="AW143" s="240"/>
      <c r="AX143" s="5"/>
      <c r="AY143" s="233"/>
      <c r="AZ143" s="231"/>
      <c r="BA143" s="232"/>
      <c r="BB143" s="39"/>
    </row>
    <row r="144" spans="1:58" ht="15" hidden="1" customHeight="1">
      <c r="A144" s="746"/>
      <c r="B144" s="748"/>
      <c r="C144" s="235" t="e">
        <f>'расчет по услугам'!#REF!</f>
        <v>#REF!</v>
      </c>
      <c r="D144" s="238" t="s">
        <v>142</v>
      </c>
      <c r="E144" s="753">
        <f>'[1]расчет свод'!S132</f>
        <v>0</v>
      </c>
      <c r="F144" s="753"/>
      <c r="G144" s="191">
        <v>1</v>
      </c>
      <c r="H144" s="192" t="e">
        <f>F144*G144/#REF!</f>
        <v>#REF!</v>
      </c>
      <c r="I144" s="235">
        <v>40</v>
      </c>
      <c r="J144" s="194"/>
      <c r="K144" s="195" t="e">
        <f t="shared" ref="K144:K145" si="127">H144*I144</f>
        <v>#REF!</v>
      </c>
      <c r="L144" s="205"/>
      <c r="M144" s="274"/>
      <c r="Q144" s="226" t="s">
        <v>256</v>
      </c>
      <c r="R144" s="226" t="s">
        <v>142</v>
      </c>
      <c r="S144" s="227">
        <f>20/149*T144</f>
        <v>6.4429530201342278</v>
      </c>
      <c r="T144" s="228">
        <v>48</v>
      </c>
      <c r="U144" s="191">
        <v>1</v>
      </c>
      <c r="V144" s="192">
        <f t="shared" ref="V144:V145" si="128">S144*U144/T144</f>
        <v>0.13422818791946309</v>
      </c>
      <c r="W144" s="235">
        <v>40</v>
      </c>
      <c r="X144" s="194"/>
      <c r="Y144" s="195">
        <f t="shared" ref="Y144:Y145" si="129">V144*W144</f>
        <v>5.3691275167785237</v>
      </c>
      <c r="AA144" s="205">
        <v>23</v>
      </c>
      <c r="AB144" s="226" t="s">
        <v>256</v>
      </c>
      <c r="AC144" s="226" t="s">
        <v>142</v>
      </c>
      <c r="AD144" s="227">
        <f>20/149*AE144</f>
        <v>13.557046979865772</v>
      </c>
      <c r="AE144" s="228">
        <v>101</v>
      </c>
      <c r="AF144" s="191">
        <v>1</v>
      </c>
      <c r="AG144" s="192">
        <f t="shared" ref="AG144:AG145" si="130">AD144*AF144/AE144</f>
        <v>0.13422818791946309</v>
      </c>
      <c r="AH144" s="235">
        <v>40</v>
      </c>
      <c r="AI144" s="194"/>
      <c r="AJ144" s="195">
        <f t="shared" si="115"/>
        <v>5.3691275167785237</v>
      </c>
      <c r="AK144" s="205"/>
      <c r="AL144" s="197"/>
      <c r="AM144" s="205">
        <v>20</v>
      </c>
      <c r="AN144" s="226" t="s">
        <v>257</v>
      </c>
      <c r="AO144" s="229" t="s">
        <v>142</v>
      </c>
      <c r="AP144" s="227">
        <v>90</v>
      </c>
      <c r="AQ144" s="228">
        <f>AQ141</f>
        <v>149</v>
      </c>
      <c r="AR144" s="191">
        <v>1</v>
      </c>
      <c r="AS144" s="192">
        <f>AP144*AR144/AQ144</f>
        <v>0.60402684563758391</v>
      </c>
      <c r="AT144" s="225">
        <v>700</v>
      </c>
      <c r="AU144" s="204"/>
      <c r="AV144" s="195">
        <f t="shared" ref="AV144:AV145" si="131">AS144*AT144</f>
        <v>422.81879194630875</v>
      </c>
      <c r="AW144" s="205"/>
      <c r="AX144" s="5">
        <v>340</v>
      </c>
      <c r="AY144" s="233">
        <f t="shared" si="123"/>
        <v>800</v>
      </c>
      <c r="AZ144" s="231">
        <f t="shared" si="118"/>
        <v>63000.000000000007</v>
      </c>
      <c r="BA144" s="232">
        <f t="shared" si="119"/>
        <v>63800.000000000007</v>
      </c>
      <c r="BB144" s="39"/>
    </row>
    <row r="145" spans="1:56" ht="15" hidden="1" customHeight="1">
      <c r="A145" s="746"/>
      <c r="B145" s="748"/>
      <c r="C145" s="235" t="e">
        <f>'расчет по услугам'!#REF!</f>
        <v>#REF!</v>
      </c>
      <c r="D145" s="238" t="s">
        <v>258</v>
      </c>
      <c r="E145" s="753">
        <f>'[1]расчет свод'!S133</f>
        <v>0</v>
      </c>
      <c r="F145" s="753"/>
      <c r="G145" s="191">
        <v>1</v>
      </c>
      <c r="H145" s="192" t="e">
        <f>F145*G145/#REF!</f>
        <v>#REF!</v>
      </c>
      <c r="I145" s="235">
        <v>250</v>
      </c>
      <c r="J145" s="194"/>
      <c r="K145" s="195" t="e">
        <f t="shared" si="127"/>
        <v>#REF!</v>
      </c>
      <c r="L145" s="205"/>
      <c r="M145" s="274"/>
      <c r="Q145" s="226" t="s">
        <v>259</v>
      </c>
      <c r="R145" s="226" t="s">
        <v>258</v>
      </c>
      <c r="S145" s="227">
        <f>10/149*T145</f>
        <v>3.2214765100671139</v>
      </c>
      <c r="T145" s="228">
        <f t="shared" si="120"/>
        <v>48</v>
      </c>
      <c r="U145" s="191">
        <v>1</v>
      </c>
      <c r="V145" s="192">
        <f t="shared" si="128"/>
        <v>6.7114093959731544E-2</v>
      </c>
      <c r="W145" s="235">
        <v>250</v>
      </c>
      <c r="X145" s="194"/>
      <c r="Y145" s="195">
        <f t="shared" si="129"/>
        <v>16.778523489932887</v>
      </c>
      <c r="AA145" s="205">
        <v>24</v>
      </c>
      <c r="AB145" s="226" t="s">
        <v>259</v>
      </c>
      <c r="AC145" s="226" t="s">
        <v>258</v>
      </c>
      <c r="AD145" s="227">
        <f>10/149*AE145</f>
        <v>6.7785234899328861</v>
      </c>
      <c r="AE145" s="228">
        <f t="shared" si="121"/>
        <v>101</v>
      </c>
      <c r="AF145" s="191">
        <v>1</v>
      </c>
      <c r="AG145" s="192">
        <f t="shared" si="130"/>
        <v>6.7114093959731544E-2</v>
      </c>
      <c r="AH145" s="235">
        <v>250</v>
      </c>
      <c r="AI145" s="194"/>
      <c r="AJ145" s="195">
        <f t="shared" si="115"/>
        <v>16.778523489932887</v>
      </c>
      <c r="AK145" s="205"/>
      <c r="AL145" s="197"/>
      <c r="AM145" s="205">
        <v>21</v>
      </c>
      <c r="AN145" s="226" t="s">
        <v>260</v>
      </c>
      <c r="AO145" s="229" t="s">
        <v>142</v>
      </c>
      <c r="AP145" s="227">
        <v>120</v>
      </c>
      <c r="AQ145" s="228">
        <f t="shared" ref="AQ145" si="132">AQ144</f>
        <v>149</v>
      </c>
      <c r="AR145" s="191">
        <v>1</v>
      </c>
      <c r="AS145" s="192">
        <f t="shared" ref="AS145" si="133">AP145*AR145/AQ145</f>
        <v>0.80536912751677847</v>
      </c>
      <c r="AT145" s="225">
        <v>120</v>
      </c>
      <c r="AU145" s="204"/>
      <c r="AV145" s="195">
        <f t="shared" si="131"/>
        <v>96.644295302013418</v>
      </c>
      <c r="AW145" s="205"/>
      <c r="AX145" s="5">
        <v>340</v>
      </c>
      <c r="AY145" s="233">
        <f t="shared" si="123"/>
        <v>2500</v>
      </c>
      <c r="AZ145" s="231">
        <f t="shared" si="118"/>
        <v>14400</v>
      </c>
      <c r="BA145" s="232">
        <f t="shared" si="119"/>
        <v>16900</v>
      </c>
      <c r="BB145" s="39"/>
    </row>
    <row r="146" spans="1:56">
      <c r="K146" s="17" t="e">
        <f>#REF!*48</f>
        <v>#REF!</v>
      </c>
      <c r="Y146" s="17" t="e">
        <f>#REF!*48</f>
        <v>#REF!</v>
      </c>
      <c r="AJ146" s="17" t="e">
        <f>#REF!*101</f>
        <v>#REF!</v>
      </c>
      <c r="AV146" s="17" t="e">
        <f>#REF!*149</f>
        <v>#REF!</v>
      </c>
    </row>
    <row r="147" spans="1:56" hidden="1">
      <c r="K147" s="17"/>
      <c r="Y147" s="17"/>
      <c r="AJ147" s="17"/>
      <c r="AV147" s="17"/>
    </row>
    <row r="148" spans="1:56" hidden="1">
      <c r="K148" s="24" t="e">
        <f>K146+AJ146</f>
        <v>#REF!</v>
      </c>
      <c r="T148" s="5">
        <v>3938878.9</v>
      </c>
      <c r="Y148" s="24" t="e">
        <f>Y146+AL146</f>
        <v>#REF!</v>
      </c>
      <c r="AE148" s="5">
        <v>3938878.9</v>
      </c>
      <c r="AJ148" s="24"/>
      <c r="AV148" s="24" t="e">
        <f>AV146+AJ146</f>
        <v>#REF!</v>
      </c>
      <c r="BD148" s="24"/>
    </row>
    <row r="149" spans="1:56" hidden="1">
      <c r="K149" s="5">
        <v>11869893.48</v>
      </c>
      <c r="T149" s="24">
        <f>T148-T155</f>
        <v>3938878.9</v>
      </c>
      <c r="Y149" s="5">
        <v>11869893.48</v>
      </c>
      <c r="AE149" s="24">
        <f>AE148-AE155</f>
        <v>-233425.08410000009</v>
      </c>
      <c r="AV149" s="248">
        <v>23623373.02</v>
      </c>
    </row>
    <row r="150" spans="1:56" hidden="1">
      <c r="K150" s="5">
        <f>K149/149*48</f>
        <v>3823858.3022818798</v>
      </c>
      <c r="Y150" s="5">
        <f>Y149/149*48</f>
        <v>3823858.3022818798</v>
      </c>
      <c r="AV150" s="24" t="e">
        <f>AV148-AV149</f>
        <v>#REF!</v>
      </c>
    </row>
    <row r="151" spans="1:56" hidden="1">
      <c r="K151" s="5">
        <f>K149/149*101</f>
        <v>8046035.1777181216</v>
      </c>
      <c r="Y151" s="5">
        <f>Y149/149*101</f>
        <v>8046035.1777181216</v>
      </c>
      <c r="AV151" s="24" t="e">
        <f>AV150</f>
        <v>#REF!</v>
      </c>
      <c r="AY151" s="5" t="s">
        <v>261</v>
      </c>
      <c r="AZ151" s="5" t="s">
        <v>169</v>
      </c>
    </row>
    <row r="152" spans="1:56" hidden="1">
      <c r="AX152" s="5">
        <v>211.21299999999999</v>
      </c>
      <c r="AY152" s="17">
        <f>AY120+AZ19</f>
        <v>6228277.2989194635</v>
      </c>
      <c r="AZ152" s="17">
        <f>18057090.8+5453241</f>
        <v>23510331.800000001</v>
      </c>
      <c r="BA152" s="17"/>
      <c r="BB152" s="17"/>
      <c r="BC152" s="24">
        <f>AZ152-AY152</f>
        <v>17282054.501080535</v>
      </c>
    </row>
    <row r="153" spans="1:56" hidden="1">
      <c r="H153" s="24"/>
      <c r="V153" s="24"/>
      <c r="AG153" s="24"/>
      <c r="AN153" s="5" t="s">
        <v>262</v>
      </c>
      <c r="AX153" s="5">
        <v>212</v>
      </c>
      <c r="AY153" s="17">
        <f>45000+AY132</f>
        <v>45450</v>
      </c>
      <c r="AZ153" s="17">
        <f>1800+45000</f>
        <v>46800</v>
      </c>
      <c r="BA153" s="17"/>
      <c r="BB153" s="17"/>
      <c r="BC153" s="24">
        <f t="shared" ref="BC153:BC160" si="134">AZ153-AY153</f>
        <v>1350</v>
      </c>
    </row>
    <row r="154" spans="1:56" hidden="1">
      <c r="C154" s="249">
        <v>211</v>
      </c>
      <c r="D154" s="249"/>
      <c r="E154" s="249">
        <v>213</v>
      </c>
      <c r="F154" s="249"/>
      <c r="G154" s="250"/>
      <c r="I154" s="24"/>
      <c r="Q154" s="249">
        <v>211</v>
      </c>
      <c r="R154" s="249">
        <v>213</v>
      </c>
      <c r="S154" s="249"/>
      <c r="T154" s="249" t="s">
        <v>263</v>
      </c>
      <c r="U154" s="250"/>
      <c r="W154" s="24"/>
      <c r="AB154" s="249">
        <v>211</v>
      </c>
      <c r="AC154" s="249">
        <v>213</v>
      </c>
      <c r="AD154" s="249"/>
      <c r="AE154" s="249" t="s">
        <v>263</v>
      </c>
      <c r="AF154" s="250"/>
      <c r="AH154" s="24"/>
      <c r="AX154" s="5">
        <v>221</v>
      </c>
      <c r="AY154" s="17">
        <f>AY98+AY56</f>
        <v>83689.261744966439</v>
      </c>
      <c r="AZ154" s="17">
        <v>249800</v>
      </c>
      <c r="BA154" s="17"/>
      <c r="BB154" s="17"/>
      <c r="BC154" s="24">
        <f t="shared" si="134"/>
        <v>166110.73825503356</v>
      </c>
    </row>
    <row r="155" spans="1:56" hidden="1">
      <c r="C155" s="249">
        <v>3204604</v>
      </c>
      <c r="D155" s="249"/>
      <c r="E155" s="249">
        <v>967700</v>
      </c>
      <c r="F155" s="248">
        <v>4172304</v>
      </c>
      <c r="G155" s="251" t="e">
        <f>F155-#REF!</f>
        <v>#REF!</v>
      </c>
      <c r="Q155" s="249">
        <v>3204604</v>
      </c>
      <c r="R155" s="249">
        <v>967700</v>
      </c>
      <c r="S155" s="248">
        <v>4172304</v>
      </c>
      <c r="T155" s="248">
        <f>AP19+AQ120</f>
        <v>0</v>
      </c>
      <c r="U155" s="251">
        <f>S155-T155</f>
        <v>4172304</v>
      </c>
      <c r="AA155" s="5">
        <v>7408</v>
      </c>
      <c r="AB155" s="249">
        <v>3204604</v>
      </c>
      <c r="AC155" s="249">
        <v>967700</v>
      </c>
      <c r="AD155" s="248">
        <v>4172304</v>
      </c>
      <c r="AE155" s="248">
        <f>BA19+BB120</f>
        <v>4172303.9841</v>
      </c>
      <c r="AF155" s="251">
        <f>AD155-AE155</f>
        <v>1.5899999998509884E-2</v>
      </c>
      <c r="AN155" s="249">
        <v>3337203.12</v>
      </c>
      <c r="AR155" s="14">
        <f>AN155-AN172</f>
        <v>3287203.12</v>
      </c>
      <c r="AX155" s="5">
        <v>222</v>
      </c>
      <c r="AY155" s="17">
        <f>AY101+102000+311100</f>
        <v>438100</v>
      </c>
      <c r="AZ155" s="17">
        <f>102000+471300</f>
        <v>573300</v>
      </c>
      <c r="BA155" s="17"/>
      <c r="BB155" s="17"/>
      <c r="BC155" s="24">
        <f t="shared" si="134"/>
        <v>135200</v>
      </c>
    </row>
    <row r="156" spans="1:56" hidden="1">
      <c r="C156" s="249">
        <v>6350167</v>
      </c>
      <c r="D156" s="249"/>
      <c r="E156" s="249">
        <f>C156*0.302+0.29</f>
        <v>1917750.7239999999</v>
      </c>
      <c r="F156" s="248">
        <v>8267917.9000000004</v>
      </c>
      <c r="G156" s="251" t="e">
        <f>F156-#REF!</f>
        <v>#REF!</v>
      </c>
      <c r="Q156" s="249">
        <v>6350167</v>
      </c>
      <c r="R156" s="249">
        <f>Q156*0.302+0.29</f>
        <v>1917750.7239999999</v>
      </c>
      <c r="S156" s="248">
        <v>8267917.9000000004</v>
      </c>
      <c r="T156" s="248">
        <f>AN19</f>
        <v>0</v>
      </c>
      <c r="U156" s="251">
        <f t="shared" ref="U156:U162" si="135">S156-T156</f>
        <v>8267917.9000000004</v>
      </c>
      <c r="AA156" s="5">
        <v>7588</v>
      </c>
      <c r="AB156" s="249">
        <v>6350167</v>
      </c>
      <c r="AC156" s="249">
        <f>AB156*0.302+0.29</f>
        <v>1917750.7239999999</v>
      </c>
      <c r="AD156" s="248">
        <v>8267917.9000000004</v>
      </c>
      <c r="AE156" s="248">
        <f>AY19</f>
        <v>8267917.4339999994</v>
      </c>
      <c r="AF156" s="251">
        <f t="shared" ref="AF156:AF164" si="136">AD156-AE156</f>
        <v>0.46600000094622374</v>
      </c>
      <c r="AN156" s="5">
        <v>59639</v>
      </c>
      <c r="AO156" s="5" t="s">
        <v>173</v>
      </c>
      <c r="AX156" s="5">
        <v>223</v>
      </c>
      <c r="AY156" s="17">
        <f>AY77</f>
        <v>1775639.0779200001</v>
      </c>
      <c r="AZ156" s="17">
        <v>2509133</v>
      </c>
      <c r="BA156" s="17"/>
      <c r="BB156" s="17"/>
      <c r="BC156" s="24">
        <f t="shared" si="134"/>
        <v>733493.92207999993</v>
      </c>
    </row>
    <row r="157" spans="1:56" hidden="1">
      <c r="C157" s="249">
        <v>2322203.7999999998</v>
      </c>
      <c r="D157" s="249"/>
      <c r="E157" s="252">
        <f>C157*0.302-0.74</f>
        <v>701304.80759999994</v>
      </c>
      <c r="F157" s="248">
        <v>3023508.8</v>
      </c>
      <c r="G157" s="251" t="e">
        <f>F157-#REF!</f>
        <v>#REF!</v>
      </c>
      <c r="Q157" s="249">
        <v>2322203.7999999998</v>
      </c>
      <c r="R157" s="252">
        <f>Q157*0.302-0.74</f>
        <v>701304.80759999994</v>
      </c>
      <c r="S157" s="248">
        <v>3023508.8</v>
      </c>
      <c r="T157" s="248">
        <f>AN121+AP121</f>
        <v>0</v>
      </c>
      <c r="U157" s="251">
        <f t="shared" si="135"/>
        <v>3023508.8</v>
      </c>
      <c r="AA157" s="5">
        <v>8800</v>
      </c>
      <c r="AB157" s="249">
        <v>2322203.7999999998</v>
      </c>
      <c r="AC157" s="252">
        <f>AB157*0.302-0.74</f>
        <v>701304.80759999994</v>
      </c>
      <c r="AD157" s="248">
        <v>3023508.8</v>
      </c>
      <c r="AE157" s="248" t="e">
        <f>AY121+BA121</f>
        <v>#REF!</v>
      </c>
      <c r="AF157" s="251" t="e">
        <f t="shared" si="136"/>
        <v>#REF!</v>
      </c>
      <c r="AN157" s="5">
        <f>2658414+100800</f>
        <v>2759214</v>
      </c>
      <c r="AO157" s="5" t="s">
        <v>264</v>
      </c>
      <c r="AX157" s="5">
        <v>225</v>
      </c>
      <c r="AY157" s="17">
        <f>AY87-AY79+AY123+AY124</f>
        <v>369745</v>
      </c>
      <c r="AZ157" s="17">
        <v>476940</v>
      </c>
      <c r="BA157" s="17"/>
      <c r="BB157" s="17"/>
      <c r="BC157" s="24">
        <f t="shared" si="134"/>
        <v>107195</v>
      </c>
    </row>
    <row r="158" spans="1:56" hidden="1">
      <c r="E158" s="5">
        <v>212</v>
      </c>
      <c r="F158" s="248">
        <f>124300-100000</f>
        <v>24300</v>
      </c>
      <c r="G158" s="251" t="e">
        <f>F158-#REF!</f>
        <v>#REF!</v>
      </c>
      <c r="H158" s="24" t="e">
        <f>G158-23400</f>
        <v>#REF!</v>
      </c>
      <c r="J158" s="5" t="s">
        <v>265</v>
      </c>
      <c r="R158" s="5">
        <v>212</v>
      </c>
      <c r="S158" s="248">
        <f>124300-100000</f>
        <v>24300</v>
      </c>
      <c r="T158" s="248">
        <f>AP132</f>
        <v>0.5</v>
      </c>
      <c r="U158" s="251">
        <f t="shared" si="135"/>
        <v>24299.5</v>
      </c>
      <c r="V158" s="24">
        <f>U158-23400</f>
        <v>899.5</v>
      </c>
      <c r="X158" s="5" t="s">
        <v>265</v>
      </c>
      <c r="AC158" s="5">
        <v>212</v>
      </c>
      <c r="AD158" s="248">
        <f>124300-100000</f>
        <v>24300</v>
      </c>
      <c r="AE158" s="248">
        <f>BA132</f>
        <v>900</v>
      </c>
      <c r="AF158" s="251">
        <f t="shared" si="136"/>
        <v>23400</v>
      </c>
      <c r="AG158" s="24">
        <f>AF158-23400</f>
        <v>0</v>
      </c>
      <c r="AI158" s="5" t="s">
        <v>265</v>
      </c>
      <c r="AN158" s="5">
        <v>16000</v>
      </c>
      <c r="AO158" s="5" t="s">
        <v>266</v>
      </c>
      <c r="AX158" s="5">
        <v>226</v>
      </c>
      <c r="AY158" s="17" t="e">
        <f>AY124+AY125+AY126+AY127+AY129+#REF!+#REF!+AY133+AY54+#REF!-45000-102000-311100+15000</f>
        <v>#REF!</v>
      </c>
      <c r="AZ158" s="17">
        <f>144000+1205230</f>
        <v>1349230</v>
      </c>
      <c r="BA158" s="17"/>
      <c r="BB158" s="17"/>
      <c r="BC158" s="24" t="e">
        <f t="shared" si="134"/>
        <v>#REF!</v>
      </c>
    </row>
    <row r="159" spans="1:56" hidden="1">
      <c r="C159" s="5">
        <v>8800</v>
      </c>
      <c r="E159" s="5">
        <v>221</v>
      </c>
      <c r="F159" s="248">
        <v>100600</v>
      </c>
      <c r="G159" s="253" t="e">
        <f>F159-#REF!</f>
        <v>#REF!</v>
      </c>
      <c r="Q159" s="5">
        <v>8800</v>
      </c>
      <c r="R159" s="5">
        <v>221</v>
      </c>
      <c r="S159" s="248">
        <v>100600</v>
      </c>
      <c r="T159" s="248">
        <f>AQ98</f>
        <v>0</v>
      </c>
      <c r="U159" s="253">
        <f t="shared" si="135"/>
        <v>100600</v>
      </c>
      <c r="AB159" s="5">
        <v>8800</v>
      </c>
      <c r="AC159" s="5">
        <v>221</v>
      </c>
      <c r="AD159" s="248">
        <v>100600</v>
      </c>
      <c r="AE159" s="248">
        <f>BB98</f>
        <v>100600</v>
      </c>
      <c r="AF159" s="253">
        <f t="shared" si="136"/>
        <v>0</v>
      </c>
      <c r="AN159" s="5">
        <v>150000</v>
      </c>
      <c r="AO159" s="5" t="s">
        <v>267</v>
      </c>
      <c r="AX159" s="5">
        <v>290</v>
      </c>
      <c r="AY159" s="17" t="e">
        <f>#REF!+AY131</f>
        <v>#REF!</v>
      </c>
      <c r="AZ159" s="17">
        <v>122990</v>
      </c>
      <c r="BA159" s="17"/>
      <c r="BB159" s="17"/>
      <c r="BC159" s="24" t="e">
        <f t="shared" si="134"/>
        <v>#REF!</v>
      </c>
    </row>
    <row r="160" spans="1:56" hidden="1">
      <c r="E160" s="5">
        <v>222</v>
      </c>
      <c r="F160" s="248">
        <f>15600+10200+50000</f>
        <v>75800</v>
      </c>
      <c r="G160" s="253" t="e">
        <f>F160-#REF!</f>
        <v>#REF!</v>
      </c>
      <c r="H160" s="24" t="e">
        <f>G160-25800</f>
        <v>#REF!</v>
      </c>
      <c r="J160" s="5" t="s">
        <v>268</v>
      </c>
      <c r="R160" s="5">
        <v>222</v>
      </c>
      <c r="S160" s="248">
        <f>15600+10200+50000</f>
        <v>75800</v>
      </c>
      <c r="T160" s="248">
        <f>AQ101</f>
        <v>0</v>
      </c>
      <c r="U160" s="253">
        <f t="shared" si="135"/>
        <v>75800</v>
      </c>
      <c r="V160" s="24">
        <f>U160-25800</f>
        <v>50000</v>
      </c>
      <c r="X160" s="5" t="s">
        <v>268</v>
      </c>
      <c r="AC160" s="5">
        <v>222</v>
      </c>
      <c r="AD160" s="248">
        <f>15600+10200+50000</f>
        <v>75800</v>
      </c>
      <c r="AE160" s="248">
        <f>BB101</f>
        <v>50000</v>
      </c>
      <c r="AF160" s="253">
        <f t="shared" si="136"/>
        <v>25800</v>
      </c>
      <c r="AG160" s="24">
        <f>AF160-25800</f>
        <v>0</v>
      </c>
      <c r="AI160" s="5" t="s">
        <v>268</v>
      </c>
      <c r="AN160" s="5">
        <v>60000</v>
      </c>
      <c r="AO160" s="5" t="s">
        <v>269</v>
      </c>
      <c r="AX160" s="5">
        <v>340</v>
      </c>
      <c r="AY160" s="17" t="e">
        <f>#REF!+AY79+AY51+AY122</f>
        <v>#REF!</v>
      </c>
      <c r="AZ160" s="17">
        <v>460392</v>
      </c>
      <c r="BA160" s="17"/>
      <c r="BB160" s="17"/>
      <c r="BC160" s="24" t="e">
        <f t="shared" si="134"/>
        <v>#REF!</v>
      </c>
    </row>
    <row r="161" spans="5:55" hidden="1">
      <c r="E161" s="5">
        <v>223</v>
      </c>
      <c r="F161" s="248">
        <v>1775640.32</v>
      </c>
      <c r="G161" s="253" t="e">
        <f>F161-#REF!</f>
        <v>#REF!</v>
      </c>
      <c r="R161" s="5">
        <v>223</v>
      </c>
      <c r="S161" s="248">
        <v>1775640.32</v>
      </c>
      <c r="T161" s="248">
        <f>AO76</f>
        <v>0</v>
      </c>
      <c r="U161" s="253">
        <f t="shared" si="135"/>
        <v>1775640.32</v>
      </c>
      <c r="AC161" s="5">
        <v>223</v>
      </c>
      <c r="AD161" s="248">
        <v>1775640.32</v>
      </c>
      <c r="AE161" s="248">
        <f>AZ76</f>
        <v>1775640.32</v>
      </c>
      <c r="AF161" s="253">
        <f t="shared" si="136"/>
        <v>0</v>
      </c>
      <c r="AN161" s="5">
        <v>40000</v>
      </c>
      <c r="AO161" s="5" t="s">
        <v>270</v>
      </c>
      <c r="AX161" s="5" t="s">
        <v>117</v>
      </c>
      <c r="AY161" s="24" t="e">
        <f>AY152+AY153+AY154+AY155+AY156+AY157+AY158+AY159+AY160</f>
        <v>#REF!</v>
      </c>
      <c r="AZ161" s="24">
        <f>AZ152+AZ153+AZ154+AZ155+AZ156+AZ157+AZ158+AZ159+AZ160</f>
        <v>29298916.800000001</v>
      </c>
      <c r="BA161" s="24"/>
      <c r="BB161" s="24"/>
      <c r="BC161" s="24" t="e">
        <f>AZ161-AY161</f>
        <v>#REF!</v>
      </c>
    </row>
    <row r="162" spans="5:55" hidden="1">
      <c r="E162" s="5">
        <v>225</v>
      </c>
      <c r="F162" s="248">
        <v>634490</v>
      </c>
      <c r="G162" s="253" t="e">
        <f>F162-#REF!</f>
        <v>#REF!</v>
      </c>
      <c r="R162" s="5">
        <v>225</v>
      </c>
      <c r="S162" s="248">
        <v>634490</v>
      </c>
      <c r="T162" s="248">
        <f>AQ86</f>
        <v>149</v>
      </c>
      <c r="U162" s="253">
        <f t="shared" si="135"/>
        <v>634341</v>
      </c>
      <c r="AC162" s="5">
        <v>225</v>
      </c>
      <c r="AD162" s="248">
        <v>634490</v>
      </c>
      <c r="AE162" s="248">
        <f>BB86</f>
        <v>634490</v>
      </c>
      <c r="AF162" s="253">
        <f t="shared" si="136"/>
        <v>0</v>
      </c>
      <c r="AN162" s="5">
        <v>55000</v>
      </c>
      <c r="AO162" s="5" t="s">
        <v>271</v>
      </c>
      <c r="AY162" s="24" t="e">
        <f>AY161-AJ146</f>
        <v>#REF!</v>
      </c>
    </row>
    <row r="163" spans="5:55" hidden="1">
      <c r="E163" s="5">
        <v>226</v>
      </c>
      <c r="F163" s="248">
        <f>734695+100000</f>
        <v>834695</v>
      </c>
      <c r="G163" s="253" t="e">
        <f>F163-#REF!</f>
        <v>#REF!</v>
      </c>
      <c r="H163" s="24" t="e">
        <f>G163-43200</f>
        <v>#REF!</v>
      </c>
      <c r="J163" s="5" t="s">
        <v>272</v>
      </c>
      <c r="R163" s="5">
        <v>226</v>
      </c>
      <c r="S163" s="248">
        <f>734695+100000</f>
        <v>834695</v>
      </c>
      <c r="T163" s="248">
        <f>AR137</f>
        <v>1</v>
      </c>
      <c r="U163" s="253">
        <f>S163-T163</f>
        <v>834694</v>
      </c>
      <c r="V163" s="24">
        <f>U163-43200</f>
        <v>791494</v>
      </c>
      <c r="X163" s="5" t="s">
        <v>272</v>
      </c>
      <c r="AC163" s="5">
        <v>226</v>
      </c>
      <c r="AD163" s="248">
        <f>734695+100000</f>
        <v>834695</v>
      </c>
      <c r="AE163" s="248">
        <f>BC137</f>
        <v>772488.28859060409</v>
      </c>
      <c r="AF163" s="253">
        <f>AD163-AE163</f>
        <v>62206.71140939591</v>
      </c>
      <c r="AG163" s="24">
        <f>AF163-43200</f>
        <v>19006.71140939591</v>
      </c>
      <c r="AI163" s="5" t="s">
        <v>272</v>
      </c>
    </row>
    <row r="164" spans="5:55" hidden="1">
      <c r="E164" s="5">
        <v>290</v>
      </c>
      <c r="F164" s="248">
        <v>2500</v>
      </c>
      <c r="G164" s="251" t="e">
        <f>F164-#REF!</f>
        <v>#REF!</v>
      </c>
      <c r="R164" s="5">
        <v>290</v>
      </c>
      <c r="S164" s="248">
        <v>2500</v>
      </c>
      <c r="T164" s="248">
        <f>AP131</f>
        <v>0.5</v>
      </c>
      <c r="U164" s="251">
        <f t="shared" ref="U164" si="137">S164-T164</f>
        <v>2499.5</v>
      </c>
      <c r="AC164" s="5">
        <v>290</v>
      </c>
      <c r="AD164" s="248">
        <v>2500</v>
      </c>
      <c r="AE164" s="248">
        <f>BA131</f>
        <v>2500</v>
      </c>
      <c r="AF164" s="251">
        <f t="shared" si="136"/>
        <v>0</v>
      </c>
    </row>
    <row r="165" spans="5:55" hidden="1">
      <c r="E165" s="5">
        <v>310</v>
      </c>
      <c r="F165" s="248"/>
      <c r="G165" s="251"/>
      <c r="R165" s="5">
        <v>310</v>
      </c>
      <c r="S165" s="248"/>
      <c r="T165" s="248"/>
      <c r="U165" s="251"/>
      <c r="AC165" s="5">
        <v>310</v>
      </c>
      <c r="AD165" s="248"/>
      <c r="AE165" s="248"/>
      <c r="AF165" s="251"/>
    </row>
    <row r="166" spans="5:55" hidden="1">
      <c r="E166" s="5">
        <v>340</v>
      </c>
      <c r="F166" s="248">
        <v>4711617</v>
      </c>
      <c r="G166" s="251" t="e">
        <f>F166-#REF!</f>
        <v>#REF!</v>
      </c>
      <c r="R166" s="5">
        <v>340</v>
      </c>
      <c r="S166" s="248">
        <v>4711617</v>
      </c>
      <c r="T166" s="248" t="e">
        <f>#REF!</f>
        <v>#REF!</v>
      </c>
      <c r="U166" s="251" t="e">
        <f>S166-T166</f>
        <v>#REF!</v>
      </c>
      <c r="AC166" s="5">
        <v>340</v>
      </c>
      <c r="AD166" s="248">
        <v>4711617</v>
      </c>
      <c r="AE166" s="248" t="e">
        <f>#REF!</f>
        <v>#REF!</v>
      </c>
      <c r="AF166" s="251" t="e">
        <f>AD166-AE166</f>
        <v>#REF!</v>
      </c>
      <c r="AN166" s="249">
        <f>AN155-AN156-AN157-AN158-AN159-AN161-AN160-AN162-AN163-AN164</f>
        <v>197350.12000000011</v>
      </c>
      <c r="AO166" s="5" t="s">
        <v>273</v>
      </c>
    </row>
    <row r="167" spans="5:55" hidden="1">
      <c r="E167" s="5" t="s">
        <v>274</v>
      </c>
      <c r="F167" s="17">
        <v>92400</v>
      </c>
      <c r="G167" s="254" t="e">
        <f>F167-#REF!</f>
        <v>#REF!</v>
      </c>
      <c r="R167" s="5" t="s">
        <v>274</v>
      </c>
      <c r="S167" s="17">
        <v>92400</v>
      </c>
      <c r="T167" s="17">
        <f>AP138+AN55</f>
        <v>1</v>
      </c>
      <c r="U167" s="254">
        <f>S167-T167</f>
        <v>92399</v>
      </c>
      <c r="AC167" s="5" t="s">
        <v>274</v>
      </c>
      <c r="AD167" s="17">
        <v>92400</v>
      </c>
      <c r="AE167" s="17">
        <f>BA138+AY55</f>
        <v>71234.897973154366</v>
      </c>
      <c r="AF167" s="254">
        <f>AD167-AE167</f>
        <v>21165.102026845634</v>
      </c>
      <c r="AN167" s="23"/>
    </row>
    <row r="168" spans="5:55" hidden="1">
      <c r="F168" s="248">
        <f>SUM(F155:F166)+H154</f>
        <v>23623373.02</v>
      </c>
      <c r="G168" s="255"/>
      <c r="S168" s="248">
        <f>SUM(S155:S166)+V154</f>
        <v>23623373.02</v>
      </c>
      <c r="T168" s="256" t="e">
        <f>SUM(T155:T167)</f>
        <v>#REF!</v>
      </c>
      <c r="U168" s="255"/>
      <c r="AD168" s="248">
        <f>SUM(AD155:AD166)+AG154</f>
        <v>23623373.02</v>
      </c>
      <c r="AE168" s="256" t="e">
        <f>SUM(AE155:AE167)</f>
        <v>#REF!</v>
      </c>
      <c r="AF168" s="255"/>
      <c r="AN168" s="5">
        <v>50765</v>
      </c>
      <c r="AO168" s="5" t="s">
        <v>275</v>
      </c>
    </row>
    <row r="169" spans="5:55" hidden="1">
      <c r="F169" s="248">
        <v>23623373.02</v>
      </c>
      <c r="G169" s="255"/>
      <c r="S169" s="248">
        <v>23623373.02</v>
      </c>
      <c r="T169" s="248">
        <v>23623373.02</v>
      </c>
      <c r="U169" s="255"/>
      <c r="AD169" s="248">
        <v>23623373.02</v>
      </c>
      <c r="AE169" s="248">
        <v>23623373.02</v>
      </c>
      <c r="AF169" s="255"/>
      <c r="AN169" s="5">
        <v>96585.12</v>
      </c>
      <c r="AO169" s="5" t="s">
        <v>276</v>
      </c>
    </row>
    <row r="170" spans="5:55" hidden="1">
      <c r="F170" s="248">
        <f>F169-F168</f>
        <v>0</v>
      </c>
      <c r="G170" s="255"/>
      <c r="S170" s="248">
        <f>S169-S168</f>
        <v>0</v>
      </c>
      <c r="T170" s="248" t="e">
        <f>T169-T168</f>
        <v>#REF!</v>
      </c>
      <c r="U170" s="255"/>
      <c r="AD170" s="248">
        <f>AD169-AD168</f>
        <v>0</v>
      </c>
      <c r="AE170" s="248" t="e">
        <f>AE169-AE168</f>
        <v>#REF!</v>
      </c>
      <c r="AF170" s="255"/>
    </row>
    <row r="171" spans="5:55" hidden="1">
      <c r="F171" s="17"/>
      <c r="G171" s="255"/>
      <c r="S171" s="17"/>
      <c r="T171" s="17"/>
      <c r="U171" s="255"/>
      <c r="AD171" s="17"/>
      <c r="AE171" s="17"/>
      <c r="AF171" s="255"/>
    </row>
    <row r="172" spans="5:55" hidden="1">
      <c r="AN172" s="5">
        <f>AN166-AN168-AN169-AN170-AN171</f>
        <v>50000.000000000116</v>
      </c>
    </row>
  </sheetData>
  <mergeCells count="281">
    <mergeCell ref="E129:F129"/>
    <mergeCell ref="E130:F130"/>
    <mergeCell ref="E131:F131"/>
    <mergeCell ref="E132:F132"/>
    <mergeCell ref="E133:F133"/>
    <mergeCell ref="E134:F134"/>
    <mergeCell ref="E123:F123"/>
    <mergeCell ref="E124:F124"/>
    <mergeCell ref="E125:F125"/>
    <mergeCell ref="E126:F126"/>
    <mergeCell ref="E127:F127"/>
    <mergeCell ref="E128:F128"/>
    <mergeCell ref="E143:F143"/>
    <mergeCell ref="E144:F144"/>
    <mergeCell ref="E145:F145"/>
    <mergeCell ref="E135:F135"/>
    <mergeCell ref="E136:F136"/>
    <mergeCell ref="E137:F137"/>
    <mergeCell ref="E138:F138"/>
    <mergeCell ref="E139:F139"/>
    <mergeCell ref="E140:F140"/>
    <mergeCell ref="E141:F141"/>
    <mergeCell ref="E142:F142"/>
    <mergeCell ref="AA120:AI120"/>
    <mergeCell ref="AM120:AU120"/>
    <mergeCell ref="C121:L121"/>
    <mergeCell ref="AA121:AK121"/>
    <mergeCell ref="AM121:AW121"/>
    <mergeCell ref="E122:F122"/>
    <mergeCell ref="E113:F113"/>
    <mergeCell ref="E114:F114"/>
    <mergeCell ref="C120:J120"/>
    <mergeCell ref="AA102:AK102"/>
    <mergeCell ref="AM102:AW102"/>
    <mergeCell ref="E110:F110"/>
    <mergeCell ref="E111:F111"/>
    <mergeCell ref="E112:F112"/>
    <mergeCell ref="E108:F108"/>
    <mergeCell ref="E109:F109"/>
    <mergeCell ref="AM98:AU98"/>
    <mergeCell ref="C99:L99"/>
    <mergeCell ref="AA99:AK99"/>
    <mergeCell ref="AM99:AW99"/>
    <mergeCell ref="E100:F100"/>
    <mergeCell ref="C101:J101"/>
    <mergeCell ref="AA101:AI101"/>
    <mergeCell ref="AM101:AU101"/>
    <mergeCell ref="E103:F103"/>
    <mergeCell ref="E104:F104"/>
    <mergeCell ref="E105:F105"/>
    <mergeCell ref="E106:F106"/>
    <mergeCell ref="E107:F107"/>
    <mergeCell ref="C102:L102"/>
    <mergeCell ref="E96:F96"/>
    <mergeCell ref="E97:F97"/>
    <mergeCell ref="C98:J98"/>
    <mergeCell ref="AA98:AI98"/>
    <mergeCell ref="C92:J92"/>
    <mergeCell ref="AA92:AI92"/>
    <mergeCell ref="AM92:AU92"/>
    <mergeCell ref="C93:L93"/>
    <mergeCell ref="AA93:AK93"/>
    <mergeCell ref="AM93:AW93"/>
    <mergeCell ref="E94:F94"/>
    <mergeCell ref="E95:F95"/>
    <mergeCell ref="E86:F86"/>
    <mergeCell ref="C87:J87"/>
    <mergeCell ref="AA87:AI87"/>
    <mergeCell ref="AM87:AU87"/>
    <mergeCell ref="C88:L88"/>
    <mergeCell ref="AA88:AK88"/>
    <mergeCell ref="AM88:AW88"/>
    <mergeCell ref="E78:F78"/>
    <mergeCell ref="E79:F79"/>
    <mergeCell ref="E80:F80"/>
    <mergeCell ref="E83:F83"/>
    <mergeCell ref="E84:F84"/>
    <mergeCell ref="E85:F85"/>
    <mergeCell ref="E81:F81"/>
    <mergeCell ref="E82:F82"/>
    <mergeCell ref="E75:F75"/>
    <mergeCell ref="C76:J76"/>
    <mergeCell ref="AA76:AI76"/>
    <mergeCell ref="AM76:AU76"/>
    <mergeCell ref="C77:L77"/>
    <mergeCell ref="AA77:AK77"/>
    <mergeCell ref="AM77:AW77"/>
    <mergeCell ref="C71:L71"/>
    <mergeCell ref="AA71:AK71"/>
    <mergeCell ref="AM71:AW71"/>
    <mergeCell ref="E72:F72"/>
    <mergeCell ref="E73:F73"/>
    <mergeCell ref="E74:F74"/>
    <mergeCell ref="AW58:AW67"/>
    <mergeCell ref="C67:J67"/>
    <mergeCell ref="AA67:AI67"/>
    <mergeCell ref="AM67:AU67"/>
    <mergeCell ref="C68:J68"/>
    <mergeCell ref="AA68:AI68"/>
    <mergeCell ref="AM68:AU68"/>
    <mergeCell ref="E56:F56"/>
    <mergeCell ref="R56:S56"/>
    <mergeCell ref="AC56:AD56"/>
    <mergeCell ref="AO56:AP56"/>
    <mergeCell ref="L58:L67"/>
    <mergeCell ref="AK58:AK67"/>
    <mergeCell ref="E54:F54"/>
    <mergeCell ref="R54:S54"/>
    <mergeCell ref="AC54:AD54"/>
    <mergeCell ref="AO54:AP54"/>
    <mergeCell ref="E55:F55"/>
    <mergeCell ref="R55:S55"/>
    <mergeCell ref="AC55:AD55"/>
    <mergeCell ref="AO55:AP55"/>
    <mergeCell ref="C53:L53"/>
    <mergeCell ref="AA53:AK53"/>
    <mergeCell ref="AM53:AW53"/>
    <mergeCell ref="C51:J51"/>
    <mergeCell ref="AA51:AI51"/>
    <mergeCell ref="AM51:AU51"/>
    <mergeCell ref="E49:F49"/>
    <mergeCell ref="R49:S49"/>
    <mergeCell ref="AC49:AD49"/>
    <mergeCell ref="AO49:AP49"/>
    <mergeCell ref="E50:F50"/>
    <mergeCell ref="R50:S50"/>
    <mergeCell ref="AC50:AD50"/>
    <mergeCell ref="AO50:AP50"/>
    <mergeCell ref="E47:F47"/>
    <mergeCell ref="R47:S47"/>
    <mergeCell ref="AC47:AD47"/>
    <mergeCell ref="AO47:AP47"/>
    <mergeCell ref="E48:F48"/>
    <mergeCell ref="R48:S48"/>
    <mergeCell ref="AC48:AD48"/>
    <mergeCell ref="AO48:AP48"/>
    <mergeCell ref="E45:F45"/>
    <mergeCell ref="R45:S45"/>
    <mergeCell ref="AC45:AD45"/>
    <mergeCell ref="AO45:AP45"/>
    <mergeCell ref="E46:F46"/>
    <mergeCell ref="R46:S46"/>
    <mergeCell ref="AC46:AD46"/>
    <mergeCell ref="AO46:AP46"/>
    <mergeCell ref="E43:F43"/>
    <mergeCell ref="R43:S43"/>
    <mergeCell ref="AC43:AD43"/>
    <mergeCell ref="AO43:AP43"/>
    <mergeCell ref="E44:F44"/>
    <mergeCell ref="R44:S44"/>
    <mergeCell ref="AC44:AD44"/>
    <mergeCell ref="AO44:AP44"/>
    <mergeCell ref="E41:F41"/>
    <mergeCell ref="R41:S41"/>
    <mergeCell ref="AC41:AD41"/>
    <mergeCell ref="AO41:AP41"/>
    <mergeCell ref="E42:F42"/>
    <mergeCell ref="R42:S42"/>
    <mergeCell ref="AC42:AD42"/>
    <mergeCell ref="AO42:AP42"/>
    <mergeCell ref="E39:F39"/>
    <mergeCell ref="R39:S39"/>
    <mergeCell ref="AC39:AD39"/>
    <mergeCell ref="AO39:AP39"/>
    <mergeCell ref="E40:F40"/>
    <mergeCell ref="R40:S40"/>
    <mergeCell ref="AC40:AD40"/>
    <mergeCell ref="AO40:AP40"/>
    <mergeCell ref="E37:F37"/>
    <mergeCell ref="R37:S37"/>
    <mergeCell ref="AC37:AD37"/>
    <mergeCell ref="AO37:AP37"/>
    <mergeCell ref="E38:F38"/>
    <mergeCell ref="R38:S38"/>
    <mergeCell ref="AC38:AD38"/>
    <mergeCell ref="AO38:AP38"/>
    <mergeCell ref="E35:F35"/>
    <mergeCell ref="R35:S35"/>
    <mergeCell ref="AC35:AD35"/>
    <mergeCell ref="AO35:AP35"/>
    <mergeCell ref="E36:F36"/>
    <mergeCell ref="R36:S36"/>
    <mergeCell ref="AC36:AD36"/>
    <mergeCell ref="AO36:AP36"/>
    <mergeCell ref="E33:F33"/>
    <mergeCell ref="R33:S33"/>
    <mergeCell ref="AC33:AD33"/>
    <mergeCell ref="AO33:AP33"/>
    <mergeCell ref="E34:F34"/>
    <mergeCell ref="R34:S34"/>
    <mergeCell ref="AC34:AD34"/>
    <mergeCell ref="AO34:AP34"/>
    <mergeCell ref="E32:F32"/>
    <mergeCell ref="R32:S32"/>
    <mergeCell ref="AC32:AD32"/>
    <mergeCell ref="AO32:AP32"/>
    <mergeCell ref="R29:S29"/>
    <mergeCell ref="AC29:AD29"/>
    <mergeCell ref="AO29:AP29"/>
    <mergeCell ref="E30:F30"/>
    <mergeCell ref="R30:S30"/>
    <mergeCell ref="AC30:AD30"/>
    <mergeCell ref="AO30:AP30"/>
    <mergeCell ref="AW25:AW51"/>
    <mergeCell ref="E26:F26"/>
    <mergeCell ref="R26:S26"/>
    <mergeCell ref="AC26:AD26"/>
    <mergeCell ref="AO26:AP26"/>
    <mergeCell ref="E27:F27"/>
    <mergeCell ref="R27:S27"/>
    <mergeCell ref="AC27:AD27"/>
    <mergeCell ref="AO27:AP27"/>
    <mergeCell ref="E28:F28"/>
    <mergeCell ref="E25:F25"/>
    <mergeCell ref="L25:L51"/>
    <mergeCell ref="R25:S25"/>
    <mergeCell ref="AC25:AD25"/>
    <mergeCell ref="AK25:AK51"/>
    <mergeCell ref="AO25:AP25"/>
    <mergeCell ref="R28:S28"/>
    <mergeCell ref="AC28:AD28"/>
    <mergeCell ref="AO28:AP28"/>
    <mergeCell ref="E29:F29"/>
    <mergeCell ref="E31:F31"/>
    <mergeCell ref="R31:S31"/>
    <mergeCell ref="AC31:AD31"/>
    <mergeCell ref="AO31:AP31"/>
    <mergeCell ref="E23:F23"/>
    <mergeCell ref="R23:S23"/>
    <mergeCell ref="AC23:AD23"/>
    <mergeCell ref="AO23:AP23"/>
    <mergeCell ref="C24:L24"/>
    <mergeCell ref="AA24:AK24"/>
    <mergeCell ref="AM24:AW24"/>
    <mergeCell ref="C19:J19"/>
    <mergeCell ref="AA19:AI19"/>
    <mergeCell ref="AM19:AU19"/>
    <mergeCell ref="C21:F21"/>
    <mergeCell ref="E22:F22"/>
    <mergeCell ref="R22:S22"/>
    <mergeCell ref="AC22:AD22"/>
    <mergeCell ref="AO22:AP22"/>
    <mergeCell ref="AO17:AP17"/>
    <mergeCell ref="E18:F18"/>
    <mergeCell ref="R18:S18"/>
    <mergeCell ref="AC18:AD18"/>
    <mergeCell ref="AO18:AP18"/>
    <mergeCell ref="BC14:BC19"/>
    <mergeCell ref="E15:F15"/>
    <mergeCell ref="R15:S15"/>
    <mergeCell ref="AC15:AD15"/>
    <mergeCell ref="AO15:AP15"/>
    <mergeCell ref="E16:F16"/>
    <mergeCell ref="R16:S16"/>
    <mergeCell ref="AC16:AD16"/>
    <mergeCell ref="E17:F17"/>
    <mergeCell ref="R17:S17"/>
    <mergeCell ref="A12:A145"/>
    <mergeCell ref="B12:B145"/>
    <mergeCell ref="C12:L12"/>
    <mergeCell ref="AA12:AK12"/>
    <mergeCell ref="AM12:AW12"/>
    <mergeCell ref="E13:F13"/>
    <mergeCell ref="E3:I3"/>
    <mergeCell ref="B6:F6"/>
    <mergeCell ref="E10:F10"/>
    <mergeCell ref="R10:S10"/>
    <mergeCell ref="AC10:AD10"/>
    <mergeCell ref="AO10:AP10"/>
    <mergeCell ref="R13:S13"/>
    <mergeCell ref="AC13:AD13"/>
    <mergeCell ref="AO13:AP13"/>
    <mergeCell ref="E14:F14"/>
    <mergeCell ref="R14:S14"/>
    <mergeCell ref="AC14:AD14"/>
    <mergeCell ref="AO14:AP14"/>
    <mergeCell ref="E11:F11"/>
    <mergeCell ref="R11:S11"/>
    <mergeCell ref="AC11:AD11"/>
    <mergeCell ref="AO11:AP11"/>
    <mergeCell ref="AC17:AD17"/>
  </mergeCells>
  <pageMargins left="0.78740157480314965" right="0.59055118110236227" top="0.39370078740157483" bottom="0.39370078740157483" header="0.31496062992125984" footer="0.31496062992125984"/>
  <pageSetup paperSize="9" scale="72" fitToHeight="0" orientation="portrait" r:id="rId1"/>
  <rowBreaks count="1" manualBreakCount="1">
    <brk id="145" min="26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46"/>
  <sheetViews>
    <sheetView view="pageBreakPreview" topLeftCell="A10" zoomScale="60" zoomScaleNormal="80" zoomScalePageLayoutView="85" workbookViewId="0">
      <selection activeCell="E13" sqref="E13:F13"/>
    </sheetView>
  </sheetViews>
  <sheetFormatPr defaultColWidth="8.85546875" defaultRowHeight="15" outlineLevelRow="2"/>
  <cols>
    <col min="1" max="1" width="17.42578125" style="5" customWidth="1"/>
    <col min="2" max="2" width="29" style="5" customWidth="1"/>
    <col min="3" max="3" width="33.5703125" style="5" customWidth="1"/>
    <col min="4" max="4" width="21.85546875" style="5" customWidth="1"/>
    <col min="5" max="5" width="11.5703125" style="5" customWidth="1"/>
    <col min="6" max="6" width="7.85546875" style="5" customWidth="1"/>
    <col min="7" max="7" width="23.85546875" style="14" hidden="1" customWidth="1"/>
    <col min="8" max="8" width="20.28515625" style="5" hidden="1" customWidth="1"/>
    <col min="9" max="9" width="17.140625" style="5" hidden="1" customWidth="1"/>
    <col min="10" max="10" width="12.140625" style="5" hidden="1" customWidth="1"/>
    <col min="11" max="11" width="19.7109375" style="5" hidden="1" customWidth="1"/>
    <col min="12" max="12" width="5.5703125" style="5" hidden="1" customWidth="1"/>
    <col min="13" max="13" width="4" style="67" hidden="1" customWidth="1"/>
    <col min="14" max="15" width="0" style="5" hidden="1" customWidth="1"/>
    <col min="16" max="16" width="5" style="68" hidden="1" customWidth="1"/>
    <col min="17" max="17" width="33.5703125" style="5" hidden="1" customWidth="1"/>
    <col min="18" max="18" width="11.5703125" style="5" hidden="1" customWidth="1"/>
    <col min="19" max="19" width="18.28515625" style="5" hidden="1" customWidth="1"/>
    <col min="20" max="20" width="20.85546875" style="5" hidden="1" customWidth="1"/>
    <col min="21" max="21" width="23.85546875" style="14" hidden="1" customWidth="1"/>
    <col min="22" max="22" width="20.28515625" style="5" hidden="1" customWidth="1"/>
    <col min="23" max="23" width="17.140625" style="5" hidden="1" customWidth="1"/>
    <col min="24" max="24" width="12.140625" style="5" hidden="1" customWidth="1"/>
    <col min="25" max="25" width="19.7109375" style="5" hidden="1" customWidth="1"/>
    <col min="26" max="26" width="5" style="39" hidden="1" customWidth="1"/>
    <col min="27" max="27" width="5.85546875" style="5" hidden="1" customWidth="1"/>
    <col min="28" max="28" width="33.5703125" style="5" hidden="1" customWidth="1"/>
    <col min="29" max="29" width="11.5703125" style="5" hidden="1" customWidth="1"/>
    <col min="30" max="30" width="18.28515625" style="5" hidden="1" customWidth="1"/>
    <col min="31" max="31" width="20.85546875" style="5" hidden="1" customWidth="1"/>
    <col min="32" max="32" width="23.85546875" style="14" hidden="1" customWidth="1"/>
    <col min="33" max="33" width="20.28515625" style="5" hidden="1" customWidth="1"/>
    <col min="34" max="34" width="17.140625" style="5" hidden="1" customWidth="1"/>
    <col min="35" max="35" width="12.140625" style="5" hidden="1" customWidth="1"/>
    <col min="36" max="36" width="19.7109375" style="5" hidden="1" customWidth="1"/>
    <col min="37" max="37" width="5.5703125" style="5" hidden="1" customWidth="1"/>
    <col min="38" max="38" width="4" style="67" hidden="1" customWidth="1"/>
    <col min="39" max="39" width="5.85546875" style="5" hidden="1" customWidth="1"/>
    <col min="40" max="40" width="34.7109375" style="5" hidden="1" customWidth="1"/>
    <col min="41" max="41" width="11.5703125" style="5" hidden="1" customWidth="1"/>
    <col min="42" max="42" width="10.85546875" style="5" hidden="1" customWidth="1"/>
    <col min="43" max="43" width="14" style="5" hidden="1" customWidth="1"/>
    <col min="44" max="44" width="14.85546875" style="14" hidden="1" customWidth="1"/>
    <col min="45" max="45" width="20.28515625" style="5" hidden="1" customWidth="1"/>
    <col min="46" max="46" width="12.7109375" style="5" hidden="1" customWidth="1"/>
    <col min="47" max="47" width="12.140625" style="5" hidden="1" customWidth="1"/>
    <col min="48" max="48" width="19.7109375" style="5" hidden="1" customWidth="1"/>
    <col min="49" max="49" width="5.5703125" style="5" hidden="1" customWidth="1"/>
    <col min="50" max="50" width="12.140625" style="5" hidden="1" customWidth="1"/>
    <col min="51" max="51" width="20.7109375" style="5" hidden="1" customWidth="1"/>
    <col min="52" max="54" width="18.7109375" style="5" hidden="1" customWidth="1"/>
    <col min="55" max="55" width="20.85546875" style="5" hidden="1" customWidth="1"/>
    <col min="56" max="56" width="18.5703125" style="5" hidden="1" customWidth="1"/>
    <col min="57" max="57" width="17" style="5" hidden="1" customWidth="1"/>
    <col min="58" max="58" width="13" style="5" hidden="1" customWidth="1"/>
    <col min="59" max="59" width="12.7109375" style="5" hidden="1" customWidth="1"/>
    <col min="60" max="60" width="19.7109375" style="5" hidden="1" customWidth="1"/>
    <col min="61" max="63" width="8.85546875" style="5" hidden="1" customWidth="1"/>
    <col min="64" max="82" width="0" style="5" hidden="1" customWidth="1"/>
    <col min="83" max="16384" width="8.85546875" style="5"/>
  </cols>
  <sheetData>
    <row r="1" spans="1:61" hidden="1"/>
    <row r="2" spans="1:61" s="39" customFormat="1" ht="19.5" hidden="1" customHeight="1">
      <c r="P2" s="68"/>
      <c r="T2" s="69"/>
      <c r="AE2" s="69"/>
      <c r="AO2" s="39" t="s">
        <v>172</v>
      </c>
      <c r="AQ2" s="69" t="s">
        <v>173</v>
      </c>
    </row>
    <row r="3" spans="1:61" s="39" customFormat="1" ht="79.5" hidden="1" customHeight="1">
      <c r="E3" s="754" t="s">
        <v>174</v>
      </c>
      <c r="F3" s="755"/>
      <c r="G3" s="755"/>
      <c r="H3" s="755"/>
      <c r="I3" s="755"/>
      <c r="P3" s="68"/>
      <c r="T3" s="69"/>
      <c r="AE3" s="69"/>
      <c r="AQ3" s="69"/>
    </row>
    <row r="4" spans="1:61" s="39" customFormat="1" ht="19.5" hidden="1" customHeight="1">
      <c r="P4" s="68"/>
      <c r="T4" s="69"/>
      <c r="AE4" s="69"/>
      <c r="AQ4" s="69"/>
    </row>
    <row r="5" spans="1:61" s="39" customFormat="1" ht="19.5" hidden="1" customHeight="1">
      <c r="P5" s="68"/>
      <c r="T5" s="69"/>
      <c r="AE5" s="69"/>
      <c r="AQ5" s="69"/>
    </row>
    <row r="6" spans="1:61" s="39" customFormat="1" ht="47.25" hidden="1" customHeight="1">
      <c r="B6" s="756" t="s">
        <v>175</v>
      </c>
      <c r="C6" s="756"/>
      <c r="D6" s="756"/>
      <c r="E6" s="756"/>
      <c r="F6" s="756"/>
      <c r="G6" s="70"/>
      <c r="H6" s="70"/>
      <c r="P6" s="68"/>
      <c r="T6" s="69"/>
      <c r="AE6" s="69"/>
      <c r="AQ6" s="69"/>
    </row>
    <row r="7" spans="1:61" s="39" customFormat="1" ht="19.5" hidden="1" customHeight="1">
      <c r="P7" s="68"/>
      <c r="T7" s="69"/>
      <c r="AE7" s="69"/>
      <c r="AQ7" s="69"/>
    </row>
    <row r="8" spans="1:61" s="39" customFormat="1" ht="19.5" hidden="1" customHeight="1">
      <c r="P8" s="68"/>
      <c r="T8" s="69"/>
      <c r="AE8" s="69"/>
      <c r="AQ8" s="69"/>
    </row>
    <row r="9" spans="1:61" s="39" customFormat="1" hidden="1">
      <c r="P9" s="68"/>
      <c r="AY9" s="39" t="s">
        <v>172</v>
      </c>
      <c r="BA9" s="39" t="s">
        <v>176</v>
      </c>
    </row>
    <row r="10" spans="1:61" ht="90" customHeight="1" thickBot="1">
      <c r="A10" s="71" t="s">
        <v>177</v>
      </c>
      <c r="B10" s="71" t="s">
        <v>178</v>
      </c>
      <c r="C10" s="72" t="s">
        <v>179</v>
      </c>
      <c r="D10" s="72" t="s">
        <v>180</v>
      </c>
      <c r="E10" s="757" t="s">
        <v>181</v>
      </c>
      <c r="F10" s="757"/>
      <c r="G10" s="74" t="s">
        <v>2</v>
      </c>
      <c r="H10" s="74" t="s">
        <v>78</v>
      </c>
      <c r="I10" s="74"/>
      <c r="J10" s="74" t="s">
        <v>99</v>
      </c>
      <c r="K10" s="74" t="s">
        <v>5</v>
      </c>
      <c r="L10" s="74" t="s">
        <v>0</v>
      </c>
      <c r="M10" s="75"/>
      <c r="Q10" s="74" t="s">
        <v>4</v>
      </c>
      <c r="R10" s="758" t="s">
        <v>100</v>
      </c>
      <c r="S10" s="759"/>
      <c r="T10" s="74" t="s">
        <v>57</v>
      </c>
      <c r="U10" s="74" t="s">
        <v>2</v>
      </c>
      <c r="V10" s="74" t="s">
        <v>78</v>
      </c>
      <c r="W10" s="74"/>
      <c r="X10" s="74" t="s">
        <v>99</v>
      </c>
      <c r="Y10" s="74" t="s">
        <v>5</v>
      </c>
      <c r="AA10" s="74" t="s">
        <v>1</v>
      </c>
      <c r="AB10" s="74" t="s">
        <v>4</v>
      </c>
      <c r="AC10" s="758" t="s">
        <v>100</v>
      </c>
      <c r="AD10" s="759"/>
      <c r="AE10" s="74" t="s">
        <v>57</v>
      </c>
      <c r="AF10" s="74" t="s">
        <v>2</v>
      </c>
      <c r="AG10" s="74" t="s">
        <v>78</v>
      </c>
      <c r="AH10" s="74"/>
      <c r="AI10" s="74" t="s">
        <v>99</v>
      </c>
      <c r="AJ10" s="74" t="s">
        <v>5</v>
      </c>
      <c r="AK10" s="74" t="s">
        <v>0</v>
      </c>
      <c r="AL10" s="75"/>
      <c r="AM10" s="74" t="s">
        <v>1</v>
      </c>
      <c r="AN10" s="74" t="s">
        <v>4</v>
      </c>
      <c r="AO10" s="758" t="s">
        <v>100</v>
      </c>
      <c r="AP10" s="759"/>
      <c r="AQ10" s="74" t="s">
        <v>57</v>
      </c>
      <c r="AR10" s="74" t="s">
        <v>2</v>
      </c>
      <c r="AS10" s="74" t="s">
        <v>78</v>
      </c>
      <c r="AT10" s="74"/>
      <c r="AU10" s="74" t="s">
        <v>99</v>
      </c>
      <c r="AV10" s="74" t="s">
        <v>5</v>
      </c>
      <c r="AW10" s="74" t="s">
        <v>0</v>
      </c>
      <c r="AX10" s="76" t="s">
        <v>182</v>
      </c>
      <c r="AY10" s="5">
        <v>2382</v>
      </c>
      <c r="AZ10" s="5">
        <f>576*36*2382</f>
        <v>49393152</v>
      </c>
      <c r="BF10" s="5" t="s">
        <v>183</v>
      </c>
      <c r="BG10" s="5" t="s">
        <v>184</v>
      </c>
      <c r="BH10" s="5">
        <f>135/6</f>
        <v>22.5</v>
      </c>
    </row>
    <row r="11" spans="1:61" ht="15.75" thickBot="1">
      <c r="A11" s="77">
        <v>1</v>
      </c>
      <c r="B11" s="77">
        <v>2</v>
      </c>
      <c r="C11" s="78">
        <v>3</v>
      </c>
      <c r="D11" s="78">
        <v>4</v>
      </c>
      <c r="E11" s="762">
        <v>5</v>
      </c>
      <c r="F11" s="762"/>
      <c r="G11" s="74">
        <v>4</v>
      </c>
      <c r="H11" s="74" t="s">
        <v>77</v>
      </c>
      <c r="I11" s="74"/>
      <c r="J11" s="74">
        <v>6</v>
      </c>
      <c r="K11" s="74" t="s">
        <v>56</v>
      </c>
      <c r="L11" s="74">
        <v>8</v>
      </c>
      <c r="M11" s="75"/>
      <c r="Q11" s="74">
        <v>2</v>
      </c>
      <c r="R11" s="758"/>
      <c r="S11" s="759"/>
      <c r="T11" s="74">
        <v>3</v>
      </c>
      <c r="U11" s="74">
        <v>4</v>
      </c>
      <c r="V11" s="74" t="s">
        <v>77</v>
      </c>
      <c r="W11" s="74"/>
      <c r="X11" s="74">
        <v>6</v>
      </c>
      <c r="Y11" s="74" t="s">
        <v>56</v>
      </c>
      <c r="AA11" s="74">
        <v>1</v>
      </c>
      <c r="AB11" s="74">
        <v>2</v>
      </c>
      <c r="AC11" s="758"/>
      <c r="AD11" s="759"/>
      <c r="AE11" s="74">
        <v>3</v>
      </c>
      <c r="AF11" s="74">
        <v>4</v>
      </c>
      <c r="AG11" s="74" t="s">
        <v>77</v>
      </c>
      <c r="AH11" s="74"/>
      <c r="AI11" s="74">
        <v>6</v>
      </c>
      <c r="AJ11" s="74" t="s">
        <v>56</v>
      </c>
      <c r="AK11" s="74">
        <v>8</v>
      </c>
      <c r="AL11" s="75"/>
      <c r="AM11" s="74">
        <v>1</v>
      </c>
      <c r="AN11" s="74">
        <v>2</v>
      </c>
      <c r="AO11" s="758"/>
      <c r="AP11" s="759"/>
      <c r="AQ11" s="74">
        <v>3</v>
      </c>
      <c r="AR11" s="74">
        <v>4</v>
      </c>
      <c r="AS11" s="74" t="s">
        <v>77</v>
      </c>
      <c r="AT11" s="74"/>
      <c r="AU11" s="74">
        <v>6</v>
      </c>
      <c r="AV11" s="74" t="s">
        <v>56</v>
      </c>
      <c r="AW11" s="74">
        <v>8</v>
      </c>
      <c r="AX11" s="76"/>
      <c r="AY11" s="80" t="s">
        <v>185</v>
      </c>
      <c r="AZ11" s="81"/>
      <c r="BA11" s="80" t="s">
        <v>186</v>
      </c>
      <c r="BB11" s="81"/>
      <c r="BF11" s="5" t="s">
        <v>187</v>
      </c>
      <c r="BG11" s="5">
        <f>13*36</f>
        <v>468</v>
      </c>
      <c r="BH11" s="5">
        <f>BG11*18</f>
        <v>8424</v>
      </c>
      <c r="BI11" s="5" t="s">
        <v>188</v>
      </c>
    </row>
    <row r="12" spans="1:61" ht="39.75" customHeight="1">
      <c r="A12" s="746" t="s">
        <v>283</v>
      </c>
      <c r="B12" s="747" t="s">
        <v>279</v>
      </c>
      <c r="C12" s="749" t="s">
        <v>190</v>
      </c>
      <c r="D12" s="749"/>
      <c r="E12" s="749"/>
      <c r="F12" s="749"/>
      <c r="G12" s="749"/>
      <c r="H12" s="749"/>
      <c r="I12" s="749"/>
      <c r="J12" s="749"/>
      <c r="K12" s="749"/>
      <c r="L12" s="749"/>
      <c r="M12" s="82"/>
      <c r="Q12" s="68"/>
      <c r="R12" s="68"/>
      <c r="S12" s="68"/>
      <c r="T12" s="68"/>
      <c r="U12" s="68"/>
      <c r="V12" s="39"/>
      <c r="W12" s="39"/>
      <c r="X12" s="39"/>
      <c r="Y12" s="39"/>
      <c r="AA12" s="750" t="s">
        <v>7</v>
      </c>
      <c r="AB12" s="751"/>
      <c r="AC12" s="751"/>
      <c r="AD12" s="751"/>
      <c r="AE12" s="751"/>
      <c r="AF12" s="751"/>
      <c r="AG12" s="751"/>
      <c r="AH12" s="751"/>
      <c r="AI12" s="751"/>
      <c r="AJ12" s="751"/>
      <c r="AK12" s="752"/>
      <c r="AL12" s="82"/>
      <c r="AM12" s="750" t="s">
        <v>7</v>
      </c>
      <c r="AN12" s="751"/>
      <c r="AO12" s="751"/>
      <c r="AP12" s="751"/>
      <c r="AQ12" s="751"/>
      <c r="AR12" s="751"/>
      <c r="AS12" s="751"/>
      <c r="AT12" s="751"/>
      <c r="AU12" s="751"/>
      <c r="AV12" s="751"/>
      <c r="AW12" s="752"/>
      <c r="AX12" s="19"/>
      <c r="AY12" s="5" t="s">
        <v>191</v>
      </c>
      <c r="BF12" s="5">
        <v>468</v>
      </c>
      <c r="BG12" s="35">
        <v>36</v>
      </c>
      <c r="BH12" s="5">
        <f>BG12*BF12</f>
        <v>16848</v>
      </c>
      <c r="BI12" s="5">
        <v>6</v>
      </c>
    </row>
    <row r="13" spans="1:61" ht="39.75" customHeight="1">
      <c r="A13" s="746"/>
      <c r="B13" s="747"/>
      <c r="C13" s="235" t="e">
        <f>'расчет по услугам'!#REF!</f>
        <v>#REF!</v>
      </c>
      <c r="D13" s="238" t="s">
        <v>192</v>
      </c>
      <c r="E13" s="753" t="e">
        <f>'расчет по услугам'!#REF!</f>
        <v>#REF!</v>
      </c>
      <c r="F13" s="753"/>
      <c r="G13" s="205">
        <v>48</v>
      </c>
      <c r="H13" s="278" t="e">
        <f>#REF!/G13</f>
        <v>#REF!</v>
      </c>
      <c r="I13" s="279"/>
      <c r="J13" s="252">
        <f>462977*1.302/1776.4/1</f>
        <v>339.33576559333483</v>
      </c>
      <c r="K13" s="280">
        <f t="shared" ref="K13:K16" si="0">IFERROR(H13*J13,0)</f>
        <v>0</v>
      </c>
      <c r="L13" s="281"/>
      <c r="M13" s="264"/>
      <c r="Q13" s="28" t="s">
        <v>136</v>
      </c>
      <c r="R13" s="760">
        <f>1/149*U13</f>
        <v>0.32214765100671139</v>
      </c>
      <c r="S13" s="761"/>
      <c r="T13" s="27">
        <f>R13*1776.4</f>
        <v>572.26308724832211</v>
      </c>
      <c r="U13" s="27">
        <v>48</v>
      </c>
      <c r="V13" s="87">
        <f>T13/U13</f>
        <v>11.922147651006711</v>
      </c>
      <c r="W13" s="84"/>
      <c r="X13" s="52">
        <f>462977*1.302/1776.4/1</f>
        <v>339.33576559333483</v>
      </c>
      <c r="Y13" s="85">
        <f t="shared" ref="Y13:Y16" si="1">IFERROR(V13*X13,0)</f>
        <v>4045.6111006711408</v>
      </c>
      <c r="AA13" s="88">
        <v>1</v>
      </c>
      <c r="AB13" s="28" t="s">
        <v>136</v>
      </c>
      <c r="AC13" s="760">
        <f>1/149*AF13</f>
        <v>0.67785234899328861</v>
      </c>
      <c r="AD13" s="761"/>
      <c r="AE13" s="27">
        <f>AC13*1776.4</f>
        <v>1204.136912751678</v>
      </c>
      <c r="AF13" s="27">
        <v>101</v>
      </c>
      <c r="AG13" s="83">
        <f>AE13/AF13</f>
        <v>11.922147651006712</v>
      </c>
      <c r="AH13" s="84"/>
      <c r="AI13" s="52">
        <f>462977*1.302/1776.4/1</f>
        <v>339.33576559333483</v>
      </c>
      <c r="AJ13" s="85">
        <f t="shared" ref="AJ13:AJ18" si="2">IFERROR(AG13*AI13,0)</f>
        <v>4045.6111006711412</v>
      </c>
      <c r="AK13" s="16"/>
      <c r="AL13" s="86"/>
      <c r="AM13" s="88">
        <v>1</v>
      </c>
      <c r="AN13" s="28" t="s">
        <v>139</v>
      </c>
      <c r="AO13" s="760">
        <v>9</v>
      </c>
      <c r="AP13" s="761"/>
      <c r="AQ13" s="27">
        <f t="shared" ref="AQ13" si="3">AO13*1776.4</f>
        <v>15987.6</v>
      </c>
      <c r="AR13" s="27">
        <v>149</v>
      </c>
      <c r="AS13" s="83">
        <f>AQ13/AR13</f>
        <v>107.29932885906041</v>
      </c>
      <c r="AT13" s="84"/>
      <c r="AU13" s="52">
        <f>2246239.55*1.302/1776.4/AO13</f>
        <v>182.92951375440964</v>
      </c>
      <c r="AV13" s="85">
        <f>IFERROR(AS13*AU13,0)</f>
        <v>19628.214054362415</v>
      </c>
      <c r="AW13" s="16"/>
      <c r="AX13" s="20">
        <v>1</v>
      </c>
      <c r="AY13" s="17">
        <f>462977*1.302</f>
        <v>602796.054</v>
      </c>
      <c r="AZ13" s="17">
        <f>AJ13*AF13</f>
        <v>408606.72116778529</v>
      </c>
      <c r="BA13" s="17">
        <f>2246239.55*1.302</f>
        <v>2924603.8940999997</v>
      </c>
      <c r="BB13" s="17">
        <f>AR13*AV13</f>
        <v>2924603.8940999997</v>
      </c>
      <c r="BG13" s="35"/>
    </row>
    <row r="14" spans="1:61" ht="47.25" hidden="1" customHeight="1" outlineLevel="1">
      <c r="A14" s="746"/>
      <c r="B14" s="747"/>
      <c r="C14" s="235"/>
      <c r="D14" s="238"/>
      <c r="E14" s="753"/>
      <c r="F14" s="753"/>
      <c r="G14" s="205">
        <f>G13</f>
        <v>48</v>
      </c>
      <c r="H14" s="278" t="e">
        <f>#REF!/G14</f>
        <v>#REF!</v>
      </c>
      <c r="I14" s="279"/>
      <c r="J14" s="252">
        <f>4941446*1.302/1776.4/12</f>
        <v>301.81653400135104</v>
      </c>
      <c r="K14" s="280">
        <f t="shared" si="0"/>
        <v>0</v>
      </c>
      <c r="L14" s="281"/>
      <c r="M14" s="265"/>
      <c r="Q14" s="28" t="s">
        <v>193</v>
      </c>
      <c r="R14" s="760">
        <f>12/149*U14</f>
        <v>3.8657718120805367</v>
      </c>
      <c r="S14" s="761"/>
      <c r="T14" s="27">
        <f t="shared" ref="T14:T18" si="4">R14*1776.4</f>
        <v>6867.1570469798653</v>
      </c>
      <c r="U14" s="27">
        <f>U13</f>
        <v>48</v>
      </c>
      <c r="V14" s="87">
        <f>T14/U14</f>
        <v>143.06577181208053</v>
      </c>
      <c r="W14" s="84"/>
      <c r="X14" s="52">
        <f>4941446*1.302/1776.4/12</f>
        <v>301.81653400135104</v>
      </c>
      <c r="Y14" s="89">
        <f t="shared" si="1"/>
        <v>43179.615382550335</v>
      </c>
      <c r="AA14" s="88">
        <v>2</v>
      </c>
      <c r="AB14" s="28" t="s">
        <v>193</v>
      </c>
      <c r="AC14" s="760">
        <f>12/149*AF14</f>
        <v>8.1342281879194633</v>
      </c>
      <c r="AD14" s="761"/>
      <c r="AE14" s="27">
        <f t="shared" ref="AE14:AE18" si="5">AC14*1776.4</f>
        <v>14449.642953020135</v>
      </c>
      <c r="AF14" s="27">
        <f>AF13</f>
        <v>101</v>
      </c>
      <c r="AG14" s="83">
        <f>AE14/AF14</f>
        <v>143.06577181208056</v>
      </c>
      <c r="AH14" s="84"/>
      <c r="AI14" s="52">
        <f>4941446*1.302/1776.4/12</f>
        <v>301.81653400135104</v>
      </c>
      <c r="AJ14" s="89">
        <f t="shared" si="2"/>
        <v>43179.615382550342</v>
      </c>
      <c r="AK14" s="40"/>
      <c r="AL14" s="90"/>
      <c r="AM14" s="88"/>
      <c r="AN14" s="28"/>
      <c r="AO14" s="760"/>
      <c r="AP14" s="761"/>
      <c r="AQ14" s="27"/>
      <c r="AR14" s="27"/>
      <c r="AS14" s="83"/>
      <c r="AT14" s="84"/>
      <c r="AU14" s="52"/>
      <c r="AV14" s="89"/>
      <c r="AW14" s="40"/>
      <c r="AX14" s="20">
        <v>12</v>
      </c>
      <c r="AY14" s="17">
        <f>4941446*1.302</f>
        <v>6433762.6919999998</v>
      </c>
      <c r="AZ14" s="17">
        <f t="shared" ref="AZ14:AZ18" si="6">AJ14*AF14</f>
        <v>4361141.1536375843</v>
      </c>
      <c r="BA14" s="17"/>
      <c r="BB14" s="17"/>
      <c r="BC14" s="763" t="s">
        <v>194</v>
      </c>
      <c r="BD14" s="24">
        <f>AY14/AF14</f>
        <v>63700.620712871285</v>
      </c>
      <c r="BE14" s="91">
        <f>BD14/AG14</f>
        <v>445.25409471486432</v>
      </c>
      <c r="BH14" s="5" t="s">
        <v>195</v>
      </c>
      <c r="BI14" s="5">
        <f>ROUND(BH12/BI12,0)</f>
        <v>2808</v>
      </c>
    </row>
    <row r="15" spans="1:61" ht="48" hidden="1" customHeight="1" outlineLevel="1">
      <c r="A15" s="746"/>
      <c r="B15" s="747"/>
      <c r="C15" s="235"/>
      <c r="D15" s="238"/>
      <c r="E15" s="753"/>
      <c r="F15" s="753"/>
      <c r="G15" s="205">
        <f t="shared" ref="G15:G18" si="7">G14</f>
        <v>48</v>
      </c>
      <c r="H15" s="278" t="e">
        <f>#REF!/G15</f>
        <v>#REF!</v>
      </c>
      <c r="I15" s="279"/>
      <c r="J15" s="252">
        <f>315780*1.302/1776.4/1.5</f>
        <v>154.29916685431209</v>
      </c>
      <c r="K15" s="280">
        <f t="shared" si="0"/>
        <v>0</v>
      </c>
      <c r="L15" s="281"/>
      <c r="M15" s="265"/>
      <c r="Q15" s="28" t="s">
        <v>137</v>
      </c>
      <c r="R15" s="760">
        <f>1.5/149*U15</f>
        <v>0.48322147651006708</v>
      </c>
      <c r="S15" s="761"/>
      <c r="T15" s="27">
        <f t="shared" si="4"/>
        <v>858.39463087248316</v>
      </c>
      <c r="U15" s="27">
        <f t="shared" ref="U15:U18" si="8">U14</f>
        <v>48</v>
      </c>
      <c r="V15" s="87">
        <f t="shared" ref="V15" si="9">T15/U15</f>
        <v>17.883221476510066</v>
      </c>
      <c r="W15" s="84"/>
      <c r="X15" s="52">
        <f>315780*1.302/1776.4/1.5</f>
        <v>154.29916685431209</v>
      </c>
      <c r="Y15" s="89">
        <f t="shared" si="1"/>
        <v>2759.3661744966439</v>
      </c>
      <c r="AA15" s="88">
        <v>3</v>
      </c>
      <c r="AB15" s="28" t="s">
        <v>137</v>
      </c>
      <c r="AC15" s="760">
        <f>1.5/149*AF15</f>
        <v>1.0167785234899329</v>
      </c>
      <c r="AD15" s="761"/>
      <c r="AE15" s="27">
        <f t="shared" si="5"/>
        <v>1806.2053691275169</v>
      </c>
      <c r="AF15" s="27">
        <f t="shared" ref="AF15:AF18" si="10">AF14</f>
        <v>101</v>
      </c>
      <c r="AG15" s="83">
        <f t="shared" ref="AG15:AG18" si="11">AE15/AF15</f>
        <v>17.883221476510069</v>
      </c>
      <c r="AH15" s="84"/>
      <c r="AI15" s="52">
        <f>315780*1.302/1776.4/1.5</f>
        <v>154.29916685431209</v>
      </c>
      <c r="AJ15" s="89">
        <f t="shared" si="2"/>
        <v>2759.3661744966448</v>
      </c>
      <c r="AK15" s="40"/>
      <c r="AL15" s="90"/>
      <c r="AM15" s="88"/>
      <c r="AN15" s="28"/>
      <c r="AO15" s="760"/>
      <c r="AP15" s="761"/>
      <c r="AQ15" s="27"/>
      <c r="AR15" s="27"/>
      <c r="AS15" s="83"/>
      <c r="AT15" s="84"/>
      <c r="AU15" s="52"/>
      <c r="AV15" s="89"/>
      <c r="AW15" s="40"/>
      <c r="AX15" s="20">
        <v>1.5</v>
      </c>
      <c r="AY15" s="17">
        <f>315780*1.302</f>
        <v>411145.56</v>
      </c>
      <c r="AZ15" s="17">
        <f t="shared" si="6"/>
        <v>278695.9836241611</v>
      </c>
      <c r="BA15" s="17"/>
      <c r="BB15" s="17"/>
      <c r="BC15" s="764"/>
      <c r="BD15" s="24">
        <f>AY15/AF15</f>
        <v>4070.7481188118813</v>
      </c>
      <c r="BE15" s="91">
        <f>BD15/AG15</f>
        <v>227.62946397319305</v>
      </c>
      <c r="BI15" s="5">
        <f>BI14*135</f>
        <v>379080</v>
      </c>
    </row>
    <row r="16" spans="1:61" ht="32.25" hidden="1" customHeight="1" outlineLevel="1">
      <c r="A16" s="746"/>
      <c r="B16" s="747"/>
      <c r="C16" s="235"/>
      <c r="D16" s="238"/>
      <c r="E16" s="753"/>
      <c r="F16" s="753"/>
      <c r="G16" s="205">
        <f t="shared" si="7"/>
        <v>48</v>
      </c>
      <c r="H16" s="278" t="e">
        <f>#REF!/G16</f>
        <v>#REF!</v>
      </c>
      <c r="I16" s="279"/>
      <c r="J16" s="252">
        <f>334020*1.302/1776.4/1</f>
        <v>244.81763116415223</v>
      </c>
      <c r="K16" s="280">
        <f t="shared" si="0"/>
        <v>0</v>
      </c>
      <c r="L16" s="281"/>
      <c r="M16" s="265"/>
      <c r="Q16" s="28" t="s">
        <v>138</v>
      </c>
      <c r="R16" s="760">
        <f>1/149*U16</f>
        <v>0.32214765100671139</v>
      </c>
      <c r="S16" s="761"/>
      <c r="T16" s="27">
        <f t="shared" si="4"/>
        <v>572.26308724832211</v>
      </c>
      <c r="U16" s="27">
        <f t="shared" si="8"/>
        <v>48</v>
      </c>
      <c r="V16" s="87">
        <f>T16/U16</f>
        <v>11.922147651006711</v>
      </c>
      <c r="W16" s="84"/>
      <c r="X16" s="52">
        <f>334020*1.302/1776.4/1</f>
        <v>244.81763116415223</v>
      </c>
      <c r="Y16" s="89">
        <f t="shared" si="1"/>
        <v>2918.7519463087247</v>
      </c>
      <c r="AA16" s="88">
        <v>4</v>
      </c>
      <c r="AB16" s="28" t="s">
        <v>138</v>
      </c>
      <c r="AC16" s="760">
        <f>1/149*AF16</f>
        <v>0.67785234899328861</v>
      </c>
      <c r="AD16" s="761"/>
      <c r="AE16" s="27">
        <f t="shared" si="5"/>
        <v>1204.136912751678</v>
      </c>
      <c r="AF16" s="27">
        <f t="shared" si="10"/>
        <v>101</v>
      </c>
      <c r="AG16" s="83">
        <f>AE16/AF16</f>
        <v>11.922147651006712</v>
      </c>
      <c r="AH16" s="84"/>
      <c r="AI16" s="52">
        <f>334020*1.302/1776.4/1</f>
        <v>244.81763116415223</v>
      </c>
      <c r="AJ16" s="89">
        <f t="shared" si="2"/>
        <v>2918.7519463087251</v>
      </c>
      <c r="AK16" s="40"/>
      <c r="AL16" s="90"/>
      <c r="AM16" s="88"/>
      <c r="AN16" s="28"/>
      <c r="AO16" s="57"/>
      <c r="AP16" s="58"/>
      <c r="AQ16" s="27"/>
      <c r="AR16" s="27"/>
      <c r="AS16" s="83"/>
      <c r="AT16" s="84"/>
      <c r="AU16" s="52"/>
      <c r="AV16" s="89"/>
      <c r="AW16" s="40"/>
      <c r="AX16" s="20">
        <v>1</v>
      </c>
      <c r="AY16" s="17">
        <f>334020*1.302</f>
        <v>434894.04000000004</v>
      </c>
      <c r="AZ16" s="17">
        <f t="shared" si="6"/>
        <v>294793.94657718122</v>
      </c>
      <c r="BA16" s="17"/>
      <c r="BB16" s="17"/>
      <c r="BC16" s="764"/>
      <c r="BD16" s="24"/>
      <c r="BE16" s="91"/>
    </row>
    <row r="17" spans="1:61" ht="41.25" hidden="1" customHeight="1" outlineLevel="1">
      <c r="A17" s="746"/>
      <c r="B17" s="747"/>
      <c r="C17" s="235"/>
      <c r="D17" s="238"/>
      <c r="E17" s="753"/>
      <c r="F17" s="753"/>
      <c r="G17" s="205">
        <f>G16</f>
        <v>48</v>
      </c>
      <c r="H17" s="278" t="e">
        <f>#REF!/G17</f>
        <v>#REF!</v>
      </c>
      <c r="I17" s="279"/>
      <c r="J17" s="252">
        <f>147744*1.302/1776.4/0.5</f>
        <v>216.57587029948209</v>
      </c>
      <c r="K17" s="280">
        <f>IFERROR(H17*J17,0)</f>
        <v>0</v>
      </c>
      <c r="L17" s="281"/>
      <c r="M17" s="265"/>
      <c r="Q17" s="28" t="s">
        <v>76</v>
      </c>
      <c r="R17" s="760">
        <f>0.5/149*U17</f>
        <v>0.16107382550335569</v>
      </c>
      <c r="S17" s="761"/>
      <c r="T17" s="27">
        <f t="shared" si="4"/>
        <v>286.13154362416105</v>
      </c>
      <c r="U17" s="27">
        <f>U16</f>
        <v>48</v>
      </c>
      <c r="V17" s="87">
        <f t="shared" ref="V17:V18" si="12">T17/U17</f>
        <v>5.9610738255033553</v>
      </c>
      <c r="W17" s="84"/>
      <c r="X17" s="52">
        <f>147744*1.302/1776.4/0.5</f>
        <v>216.57587029948209</v>
      </c>
      <c r="Y17" s="89">
        <f>IFERROR(V17*X17,0)</f>
        <v>1291.0247516778522</v>
      </c>
      <c r="AA17" s="88">
        <v>5</v>
      </c>
      <c r="AB17" s="28" t="s">
        <v>76</v>
      </c>
      <c r="AC17" s="760">
        <f>0.5/149*AF17</f>
        <v>0.33892617449664431</v>
      </c>
      <c r="AD17" s="761"/>
      <c r="AE17" s="27">
        <f t="shared" si="5"/>
        <v>602.06845637583899</v>
      </c>
      <c r="AF17" s="27">
        <f>AF16</f>
        <v>101</v>
      </c>
      <c r="AG17" s="83">
        <f t="shared" si="11"/>
        <v>5.9610738255033562</v>
      </c>
      <c r="AH17" s="84"/>
      <c r="AI17" s="52">
        <f>147744*1.302/1776.4/0.5</f>
        <v>216.57587029948209</v>
      </c>
      <c r="AJ17" s="89">
        <f>IFERROR(AG17*AI17,0)</f>
        <v>1291.0247516778525</v>
      </c>
      <c r="AK17" s="40"/>
      <c r="AL17" s="90"/>
      <c r="AM17" s="88"/>
      <c r="AN17" s="28"/>
      <c r="AO17" s="760"/>
      <c r="AP17" s="761"/>
      <c r="AQ17" s="27"/>
      <c r="AR17" s="27"/>
      <c r="AS17" s="83"/>
      <c r="AT17" s="84"/>
      <c r="AU17" s="52"/>
      <c r="AV17" s="89"/>
      <c r="AW17" s="40"/>
      <c r="AX17" s="20">
        <v>0.5</v>
      </c>
      <c r="AY17" s="17">
        <f>147744*1.302</f>
        <v>192362.68799999999</v>
      </c>
      <c r="AZ17" s="17">
        <f t="shared" si="6"/>
        <v>130393.49991946309</v>
      </c>
      <c r="BA17" s="17"/>
      <c r="BB17" s="17"/>
      <c r="BC17" s="764"/>
      <c r="BI17" s="5">
        <f>BI14*135</f>
        <v>379080</v>
      </c>
    </row>
    <row r="18" spans="1:61" ht="48" hidden="1" customHeight="1" outlineLevel="1">
      <c r="A18" s="746"/>
      <c r="B18" s="747"/>
      <c r="C18" s="235"/>
      <c r="D18" s="238"/>
      <c r="E18" s="753"/>
      <c r="F18" s="753"/>
      <c r="G18" s="205">
        <f t="shared" si="7"/>
        <v>48</v>
      </c>
      <c r="H18" s="278" t="e">
        <f>#REF!/G18</f>
        <v>#REF!</v>
      </c>
      <c r="I18" s="279"/>
      <c r="J18" s="252">
        <f>148200*1.302/1776.4/0.5</f>
        <v>217.24431434361628</v>
      </c>
      <c r="K18" s="280">
        <f t="shared" ref="K18" si="13">IFERROR(H18*J18,0)</f>
        <v>0</v>
      </c>
      <c r="L18" s="281"/>
      <c r="M18" s="265"/>
      <c r="Q18" s="28" t="s">
        <v>126</v>
      </c>
      <c r="R18" s="760">
        <f>0.5/149*U18</f>
        <v>0.16107382550335569</v>
      </c>
      <c r="S18" s="761"/>
      <c r="T18" s="27">
        <f t="shared" si="4"/>
        <v>286.13154362416105</v>
      </c>
      <c r="U18" s="27">
        <f t="shared" si="8"/>
        <v>48</v>
      </c>
      <c r="V18" s="87">
        <f t="shared" si="12"/>
        <v>5.9610738255033553</v>
      </c>
      <c r="W18" s="84"/>
      <c r="X18" s="52">
        <f>148200*1.302/1776.4/0.5</f>
        <v>217.24431434361628</v>
      </c>
      <c r="Y18" s="89">
        <f t="shared" ref="Y18" si="14">IFERROR(V18*X18,0)</f>
        <v>1295.0093959731541</v>
      </c>
      <c r="AA18" s="88">
        <v>6</v>
      </c>
      <c r="AB18" s="28" t="s">
        <v>126</v>
      </c>
      <c r="AC18" s="760">
        <f>0.5/149*AF18</f>
        <v>0.33892617449664431</v>
      </c>
      <c r="AD18" s="761"/>
      <c r="AE18" s="27">
        <f t="shared" si="5"/>
        <v>602.06845637583899</v>
      </c>
      <c r="AF18" s="27">
        <f t="shared" si="10"/>
        <v>101</v>
      </c>
      <c r="AG18" s="83">
        <f t="shared" si="11"/>
        <v>5.9610738255033562</v>
      </c>
      <c r="AH18" s="84"/>
      <c r="AI18" s="52">
        <f>148200*1.302/1776.4/0.5</f>
        <v>217.24431434361628</v>
      </c>
      <c r="AJ18" s="89">
        <f t="shared" si="2"/>
        <v>1295.0093959731544</v>
      </c>
      <c r="AK18" s="40"/>
      <c r="AL18" s="90"/>
      <c r="AM18" s="88"/>
      <c r="AN18" s="28"/>
      <c r="AO18" s="760"/>
      <c r="AP18" s="761"/>
      <c r="AQ18" s="27"/>
      <c r="AR18" s="27"/>
      <c r="AS18" s="83"/>
      <c r="AT18" s="84"/>
      <c r="AU18" s="52"/>
      <c r="AV18" s="89"/>
      <c r="AW18" s="40"/>
      <c r="AX18" s="20">
        <v>0.5</v>
      </c>
      <c r="AY18" s="17">
        <f>148200*1.302</f>
        <v>192956.4</v>
      </c>
      <c r="AZ18" s="17">
        <f t="shared" si="6"/>
        <v>130795.94899328859</v>
      </c>
      <c r="BA18" s="17"/>
      <c r="BB18" s="17"/>
      <c r="BC18" s="764"/>
    </row>
    <row r="19" spans="1:61" ht="15.75" hidden="1" customHeight="1" outlineLevel="1" thickBot="1">
      <c r="A19" s="746"/>
      <c r="B19" s="747"/>
      <c r="C19" s="768"/>
      <c r="D19" s="768"/>
      <c r="E19" s="768"/>
      <c r="F19" s="768"/>
      <c r="G19" s="768"/>
      <c r="H19" s="768"/>
      <c r="I19" s="768"/>
      <c r="J19" s="768"/>
      <c r="K19" s="247">
        <f>SUM(K13:K18)</f>
        <v>0</v>
      </c>
      <c r="L19" s="281"/>
      <c r="M19" s="266"/>
      <c r="Q19" s="68"/>
      <c r="R19" s="68"/>
      <c r="S19" s="68"/>
      <c r="T19" s="68"/>
      <c r="U19" s="68"/>
      <c r="V19" s="68"/>
      <c r="W19" s="68"/>
      <c r="X19" s="68"/>
      <c r="Y19" s="92">
        <f>SUM(Y13:Y18)</f>
        <v>55489.378751677854</v>
      </c>
      <c r="AA19" s="769" t="s">
        <v>42</v>
      </c>
      <c r="AB19" s="770"/>
      <c r="AC19" s="770"/>
      <c r="AD19" s="770"/>
      <c r="AE19" s="770"/>
      <c r="AF19" s="770"/>
      <c r="AG19" s="770"/>
      <c r="AH19" s="770"/>
      <c r="AI19" s="771"/>
      <c r="AJ19" s="92">
        <f>SUM(AJ13:AJ18)</f>
        <v>55489.378751677861</v>
      </c>
      <c r="AK19" s="40"/>
      <c r="AL19" s="93"/>
      <c r="AM19" s="769" t="s">
        <v>42</v>
      </c>
      <c r="AN19" s="770"/>
      <c r="AO19" s="770"/>
      <c r="AP19" s="770"/>
      <c r="AQ19" s="770"/>
      <c r="AR19" s="770"/>
      <c r="AS19" s="770"/>
      <c r="AT19" s="770"/>
      <c r="AU19" s="771"/>
      <c r="AV19" s="92">
        <f>SUM(AV13:AV18)</f>
        <v>19628.214054362415</v>
      </c>
      <c r="AW19" s="40"/>
      <c r="AX19" s="94"/>
      <c r="AY19" s="95">
        <f>(AY13+AY14+AY15+AY17+AY18+AY16)</f>
        <v>8267917.4339999994</v>
      </c>
      <c r="AZ19" s="17">
        <f>(AZ13+AZ14+AZ15+AZ17+AZ18+AZ16)</f>
        <v>5604427.2539194636</v>
      </c>
      <c r="BA19" s="95">
        <f>SUM(BA13:BA18)</f>
        <v>2924603.8940999997</v>
      </c>
      <c r="BB19" s="17"/>
      <c r="BC19" s="765"/>
      <c r="BI19" s="5" t="e">
        <f>#REF!*135</f>
        <v>#REF!</v>
      </c>
    </row>
    <row r="20" spans="1:61" s="100" customFormat="1" ht="15" hidden="1" customHeight="1" outlineLevel="1">
      <c r="A20" s="746"/>
      <c r="B20" s="747"/>
      <c r="C20" s="282"/>
      <c r="D20" s="282"/>
      <c r="E20" s="282"/>
      <c r="F20" s="282"/>
      <c r="G20" s="282"/>
      <c r="H20" s="282"/>
      <c r="I20" s="282"/>
      <c r="J20" s="282"/>
      <c r="K20" s="283"/>
      <c r="L20" s="284"/>
      <c r="M20" s="99"/>
      <c r="P20" s="101"/>
      <c r="Q20" s="96"/>
      <c r="R20" s="96"/>
      <c r="S20" s="96"/>
      <c r="T20" s="96"/>
      <c r="U20" s="96"/>
      <c r="V20" s="96"/>
      <c r="W20" s="96"/>
      <c r="X20" s="96"/>
      <c r="Y20" s="97"/>
      <c r="AA20" s="96"/>
      <c r="AB20" s="96"/>
      <c r="AC20" s="96"/>
      <c r="AD20" s="96"/>
      <c r="AE20" s="96"/>
      <c r="AF20" s="96"/>
      <c r="AG20" s="96"/>
      <c r="AH20" s="96"/>
      <c r="AI20" s="96"/>
      <c r="AJ20" s="97"/>
      <c r="AK20" s="98"/>
      <c r="AL20" s="99"/>
      <c r="AM20" s="96"/>
      <c r="AN20" s="96"/>
      <c r="AO20" s="96"/>
      <c r="AP20" s="96"/>
      <c r="AQ20" s="96"/>
      <c r="AR20" s="96"/>
      <c r="AS20" s="96"/>
      <c r="AT20" s="96"/>
      <c r="AU20" s="96"/>
      <c r="AV20" s="97"/>
      <c r="AW20" s="98"/>
      <c r="AX20" s="102"/>
      <c r="AY20" s="103">
        <v>8267917.9000000004</v>
      </c>
      <c r="AZ20" s="103">
        <f>AY19-AY20</f>
        <v>-0.46600000094622374</v>
      </c>
      <c r="BA20" s="103">
        <v>2032138.72</v>
      </c>
      <c r="BB20" s="103">
        <f>BA19-BA20</f>
        <v>892465.17409999971</v>
      </c>
      <c r="BC20" s="104"/>
    </row>
    <row r="21" spans="1:61" s="39" customFormat="1" ht="33.75" customHeight="1" outlineLevel="1">
      <c r="A21" s="746"/>
      <c r="B21" s="747"/>
      <c r="C21" s="772" t="s">
        <v>196</v>
      </c>
      <c r="D21" s="773"/>
      <c r="E21" s="773"/>
      <c r="F21" s="773"/>
      <c r="G21" s="285"/>
      <c r="H21" s="285"/>
      <c r="I21" s="285"/>
      <c r="J21" s="285"/>
      <c r="K21" s="283"/>
      <c r="L21" s="286"/>
      <c r="M21" s="104"/>
      <c r="P21" s="68"/>
      <c r="Q21" s="105"/>
      <c r="R21" s="105"/>
      <c r="S21" s="105"/>
      <c r="T21" s="105"/>
      <c r="U21" s="105"/>
      <c r="V21" s="105"/>
      <c r="W21" s="105"/>
      <c r="X21" s="105"/>
      <c r="Y21" s="97"/>
      <c r="AA21" s="105"/>
      <c r="AB21" s="105"/>
      <c r="AC21" s="105"/>
      <c r="AD21" s="105"/>
      <c r="AE21" s="105"/>
      <c r="AF21" s="105"/>
      <c r="AG21" s="105"/>
      <c r="AH21" s="105"/>
      <c r="AI21" s="105"/>
      <c r="AJ21" s="97"/>
      <c r="AK21" s="106"/>
      <c r="AL21" s="104"/>
      <c r="AM21" s="105"/>
      <c r="AN21" s="105"/>
      <c r="AO21" s="105"/>
      <c r="AP21" s="105"/>
      <c r="AQ21" s="105"/>
      <c r="AR21" s="105"/>
      <c r="AS21" s="105"/>
      <c r="AT21" s="105"/>
      <c r="AU21" s="105"/>
      <c r="AV21" s="97"/>
      <c r="AW21" s="106"/>
      <c r="AX21" s="104"/>
      <c r="AY21" s="107">
        <f>AZ19-AY19</f>
        <v>-2663490.1800805358</v>
      </c>
      <c r="AZ21" s="107"/>
      <c r="BA21" s="107"/>
      <c r="BB21" s="107"/>
    </row>
    <row r="22" spans="1:61" s="13" customFormat="1" ht="68.25" hidden="1" customHeight="1">
      <c r="A22" s="746"/>
      <c r="B22" s="747"/>
      <c r="C22" s="287" t="s">
        <v>3</v>
      </c>
      <c r="D22" s="287"/>
      <c r="E22" s="774"/>
      <c r="F22" s="774"/>
      <c r="G22" s="287" t="s">
        <v>2</v>
      </c>
      <c r="H22" s="289" t="s">
        <v>58</v>
      </c>
      <c r="I22" s="289" t="s">
        <v>73</v>
      </c>
      <c r="J22" s="289" t="s">
        <v>74</v>
      </c>
      <c r="K22" s="289" t="s">
        <v>5</v>
      </c>
      <c r="L22" s="289" t="s">
        <v>0</v>
      </c>
      <c r="M22" s="267"/>
      <c r="P22" s="109"/>
      <c r="Q22" s="108" t="s">
        <v>3</v>
      </c>
      <c r="R22" s="775"/>
      <c r="S22" s="776"/>
      <c r="T22" s="108" t="s">
        <v>63</v>
      </c>
      <c r="U22" s="108" t="s">
        <v>2</v>
      </c>
      <c r="V22" s="74" t="s">
        <v>58</v>
      </c>
      <c r="W22" s="74" t="s">
        <v>73</v>
      </c>
      <c r="X22" s="74" t="s">
        <v>74</v>
      </c>
      <c r="Y22" s="74" t="s">
        <v>5</v>
      </c>
      <c r="Z22" s="110"/>
      <c r="AA22" s="108" t="s">
        <v>1</v>
      </c>
      <c r="AB22" s="108" t="s">
        <v>3</v>
      </c>
      <c r="AC22" s="775"/>
      <c r="AD22" s="776"/>
      <c r="AE22" s="108" t="s">
        <v>63</v>
      </c>
      <c r="AF22" s="108" t="s">
        <v>2</v>
      </c>
      <c r="AG22" s="74" t="s">
        <v>58</v>
      </c>
      <c r="AH22" s="74" t="s">
        <v>73</v>
      </c>
      <c r="AI22" s="74" t="s">
        <v>74</v>
      </c>
      <c r="AJ22" s="74" t="s">
        <v>5</v>
      </c>
      <c r="AK22" s="74" t="s">
        <v>0</v>
      </c>
      <c r="AL22" s="75"/>
      <c r="AM22" s="108" t="s">
        <v>1</v>
      </c>
      <c r="AN22" s="108" t="s">
        <v>3</v>
      </c>
      <c r="AO22" s="775"/>
      <c r="AP22" s="776"/>
      <c r="AQ22" s="108" t="s">
        <v>63</v>
      </c>
      <c r="AR22" s="108" t="s">
        <v>2</v>
      </c>
      <c r="AS22" s="74" t="s">
        <v>58</v>
      </c>
      <c r="AT22" s="74" t="s">
        <v>73</v>
      </c>
      <c r="AU22" s="74" t="s">
        <v>74</v>
      </c>
      <c r="AV22" s="74" t="s">
        <v>5</v>
      </c>
      <c r="AW22" s="74" t="s">
        <v>0</v>
      </c>
      <c r="AX22" s="76"/>
      <c r="AY22" s="111">
        <v>7190581.7300000004</v>
      </c>
      <c r="AZ22" s="112">
        <f>AY22-AY19</f>
        <v>-1077335.703999999</v>
      </c>
      <c r="BA22" s="112"/>
      <c r="BB22" s="112"/>
    </row>
    <row r="23" spans="1:61" ht="15" hidden="1" customHeight="1">
      <c r="A23" s="746"/>
      <c r="B23" s="747"/>
      <c r="C23" s="289">
        <v>2</v>
      </c>
      <c r="D23" s="289"/>
      <c r="E23" s="766"/>
      <c r="F23" s="766"/>
      <c r="G23" s="289">
        <v>4</v>
      </c>
      <c r="H23" s="289" t="s">
        <v>77</v>
      </c>
      <c r="I23" s="289">
        <v>6</v>
      </c>
      <c r="J23" s="289">
        <v>7</v>
      </c>
      <c r="K23" s="289" t="s">
        <v>60</v>
      </c>
      <c r="L23" s="289">
        <v>9</v>
      </c>
      <c r="M23" s="267"/>
      <c r="Q23" s="74">
        <v>2</v>
      </c>
      <c r="R23" s="758"/>
      <c r="S23" s="759"/>
      <c r="T23" s="74">
        <v>3</v>
      </c>
      <c r="U23" s="74">
        <v>4</v>
      </c>
      <c r="V23" s="74" t="s">
        <v>77</v>
      </c>
      <c r="W23" s="74">
        <v>6</v>
      </c>
      <c r="X23" s="74">
        <v>7</v>
      </c>
      <c r="Y23" s="74" t="s">
        <v>60</v>
      </c>
      <c r="AA23" s="74">
        <v>1</v>
      </c>
      <c r="AB23" s="74">
        <v>2</v>
      </c>
      <c r="AC23" s="758"/>
      <c r="AD23" s="759"/>
      <c r="AE23" s="74">
        <v>3</v>
      </c>
      <c r="AF23" s="74">
        <v>4</v>
      </c>
      <c r="AG23" s="74" t="s">
        <v>77</v>
      </c>
      <c r="AH23" s="74">
        <v>6</v>
      </c>
      <c r="AI23" s="74">
        <v>7</v>
      </c>
      <c r="AJ23" s="74" t="s">
        <v>60</v>
      </c>
      <c r="AK23" s="74">
        <v>9</v>
      </c>
      <c r="AL23" s="75"/>
      <c r="AM23" s="74">
        <v>1</v>
      </c>
      <c r="AN23" s="74">
        <v>2</v>
      </c>
      <c r="AO23" s="758"/>
      <c r="AP23" s="759"/>
      <c r="AQ23" s="74">
        <v>3</v>
      </c>
      <c r="AR23" s="74">
        <v>4</v>
      </c>
      <c r="AS23" s="74" t="s">
        <v>77</v>
      </c>
      <c r="AT23" s="74">
        <v>6</v>
      </c>
      <c r="AU23" s="74">
        <v>7</v>
      </c>
      <c r="AV23" s="74" t="s">
        <v>60</v>
      </c>
      <c r="AW23" s="74">
        <v>9</v>
      </c>
      <c r="AX23" s="76"/>
    </row>
    <row r="24" spans="1:61" ht="15" hidden="1" customHeight="1">
      <c r="A24" s="746"/>
      <c r="B24" s="747"/>
      <c r="C24" s="767"/>
      <c r="D24" s="767"/>
      <c r="E24" s="767"/>
      <c r="F24" s="767"/>
      <c r="G24" s="767"/>
      <c r="H24" s="767"/>
      <c r="I24" s="767"/>
      <c r="J24" s="767"/>
      <c r="K24" s="767"/>
      <c r="L24" s="767"/>
      <c r="M24" s="82"/>
      <c r="Q24" s="68"/>
      <c r="R24" s="68"/>
      <c r="S24" s="68"/>
      <c r="T24" s="68"/>
      <c r="U24" s="68"/>
      <c r="V24" s="68"/>
      <c r="W24" s="68"/>
      <c r="X24" s="68"/>
      <c r="Y24" s="68"/>
      <c r="AA24" s="751" t="s">
        <v>6</v>
      </c>
      <c r="AB24" s="751"/>
      <c r="AC24" s="751"/>
      <c r="AD24" s="751"/>
      <c r="AE24" s="751"/>
      <c r="AF24" s="751"/>
      <c r="AG24" s="751"/>
      <c r="AH24" s="751"/>
      <c r="AI24" s="751"/>
      <c r="AJ24" s="751"/>
      <c r="AK24" s="752"/>
      <c r="AL24" s="82"/>
      <c r="AM24" s="751" t="s">
        <v>6</v>
      </c>
      <c r="AN24" s="751"/>
      <c r="AO24" s="751"/>
      <c r="AP24" s="751"/>
      <c r="AQ24" s="751"/>
      <c r="AR24" s="751"/>
      <c r="AS24" s="751"/>
      <c r="AT24" s="751"/>
      <c r="AU24" s="751"/>
      <c r="AV24" s="751"/>
      <c r="AW24" s="752"/>
      <c r="AX24" s="19"/>
      <c r="BA24" s="113" t="s">
        <v>197</v>
      </c>
    </row>
    <row r="25" spans="1:61" ht="15" customHeight="1" outlineLevel="2">
      <c r="A25" s="746"/>
      <c r="B25" s="747"/>
      <c r="C25" s="235" t="e">
        <f>'расчет по услугам'!#REF!</f>
        <v>#REF!</v>
      </c>
      <c r="D25" s="238" t="e">
        <f>'расчет по услугам'!#REF!</f>
        <v>#REF!</v>
      </c>
      <c r="E25" s="780" t="e">
        <f>'расчет по услугам'!#REF!</f>
        <v>#REF!</v>
      </c>
      <c r="F25" s="781"/>
      <c r="G25" s="249">
        <f>G14</f>
        <v>48</v>
      </c>
      <c r="H25" s="291" t="e">
        <f>#REF!/G25</f>
        <v>#REF!</v>
      </c>
      <c r="I25" s="249">
        <v>1</v>
      </c>
      <c r="J25" s="252">
        <v>200</v>
      </c>
      <c r="K25" s="278">
        <f t="shared" ref="K25:K45" si="15">IFERROR(H25*J25/I25,0)</f>
        <v>0</v>
      </c>
      <c r="L25" s="782"/>
      <c r="M25" s="268"/>
      <c r="Q25" s="28" t="s">
        <v>141</v>
      </c>
      <c r="R25" s="760" t="s">
        <v>142</v>
      </c>
      <c r="S25" s="761"/>
      <c r="T25" s="116">
        <f>12/149*U25</f>
        <v>3.8657718120805367</v>
      </c>
      <c r="U25" s="27">
        <f>U14</f>
        <v>48</v>
      </c>
      <c r="V25" s="87">
        <f>T25/U25</f>
        <v>8.0536912751677847E-2</v>
      </c>
      <c r="W25" s="77">
        <v>1</v>
      </c>
      <c r="X25" s="52">
        <v>200</v>
      </c>
      <c r="Y25" s="83">
        <f t="shared" ref="Y25:Y45" si="16">IFERROR(V25*X25/W25,0)</f>
        <v>16.107382550335569</v>
      </c>
      <c r="AA25" s="88">
        <v>1</v>
      </c>
      <c r="AB25" s="28" t="s">
        <v>141</v>
      </c>
      <c r="AC25" s="760" t="s">
        <v>142</v>
      </c>
      <c r="AD25" s="761"/>
      <c r="AE25" s="116">
        <f>12/149*AF25</f>
        <v>8.1342281879194633</v>
      </c>
      <c r="AF25" s="27">
        <f>AF14</f>
        <v>101</v>
      </c>
      <c r="AG25" s="114">
        <f>AE25/AF25</f>
        <v>8.0536912751677861E-2</v>
      </c>
      <c r="AH25" s="77">
        <v>1</v>
      </c>
      <c r="AI25" s="52">
        <v>200</v>
      </c>
      <c r="AJ25" s="83">
        <f t="shared" ref="AJ25:AJ45" si="17">IFERROR(AG25*AI25/AH25,0)</f>
        <v>16.107382550335572</v>
      </c>
      <c r="AK25" s="777"/>
      <c r="AL25" s="115"/>
      <c r="AM25" s="88">
        <v>1</v>
      </c>
      <c r="AN25" s="28" t="s">
        <v>153</v>
      </c>
      <c r="AO25" s="760" t="s">
        <v>142</v>
      </c>
      <c r="AP25" s="761"/>
      <c r="AQ25" s="117">
        <v>25</v>
      </c>
      <c r="AR25" s="27">
        <v>149</v>
      </c>
      <c r="AS25" s="114">
        <f>AQ25/AR25</f>
        <v>0.16778523489932887</v>
      </c>
      <c r="AT25" s="77">
        <v>1</v>
      </c>
      <c r="AU25" s="52">
        <v>120</v>
      </c>
      <c r="AV25" s="83">
        <f t="shared" ref="AV25:AV42" si="18">IFERROR(AS25*AU25/AT25,0)</f>
        <v>20.134228187919465</v>
      </c>
      <c r="AW25" s="777"/>
      <c r="AX25" s="21"/>
      <c r="AY25" s="5">
        <f t="shared" ref="AY25:AY50" si="19">AJ25*AF25</f>
        <v>1626.8456375838928</v>
      </c>
      <c r="BA25" s="113">
        <f>AU25*AQ25</f>
        <v>3000</v>
      </c>
      <c r="BB25" s="5">
        <f>AV25*AR25</f>
        <v>3000.0000000000005</v>
      </c>
    </row>
    <row r="26" spans="1:61" ht="15" customHeight="1" outlineLevel="2">
      <c r="A26" s="746"/>
      <c r="B26" s="747"/>
      <c r="C26" s="235" t="e">
        <f>'расчет по услугам'!#REF!</f>
        <v>#REF!</v>
      </c>
      <c r="D26" s="238" t="e">
        <f>'расчет по услугам'!#REF!</f>
        <v>#REF!</v>
      </c>
      <c r="E26" s="780" t="e">
        <f>'расчет по услугам'!#REF!</f>
        <v>#REF!</v>
      </c>
      <c r="F26" s="781"/>
      <c r="G26" s="249">
        <f>G14</f>
        <v>48</v>
      </c>
      <c r="H26" s="291" t="e">
        <f>#REF!/G26</f>
        <v>#REF!</v>
      </c>
      <c r="I26" s="249">
        <v>1</v>
      </c>
      <c r="J26" s="252">
        <v>45</v>
      </c>
      <c r="K26" s="278">
        <f t="shared" si="15"/>
        <v>0</v>
      </c>
      <c r="L26" s="782"/>
      <c r="M26" s="269"/>
      <c r="Q26" s="28" t="s">
        <v>143</v>
      </c>
      <c r="R26" s="760" t="s">
        <v>142</v>
      </c>
      <c r="S26" s="761"/>
      <c r="T26" s="116">
        <f>50/149*U26</f>
        <v>16.107382550335572</v>
      </c>
      <c r="U26" s="27">
        <f>U14</f>
        <v>48</v>
      </c>
      <c r="V26" s="87">
        <f t="shared" ref="V26:V45" si="20">T26/U26</f>
        <v>0.33557046979865773</v>
      </c>
      <c r="W26" s="77">
        <v>1</v>
      </c>
      <c r="X26" s="52">
        <v>45</v>
      </c>
      <c r="Y26" s="83">
        <f t="shared" si="16"/>
        <v>15.100671140939598</v>
      </c>
      <c r="AA26" s="88">
        <v>2</v>
      </c>
      <c r="AB26" s="28" t="s">
        <v>143</v>
      </c>
      <c r="AC26" s="760" t="s">
        <v>142</v>
      </c>
      <c r="AD26" s="761"/>
      <c r="AE26" s="116">
        <f>50/149*AF26</f>
        <v>33.892617449664428</v>
      </c>
      <c r="AF26" s="27">
        <f>AF14</f>
        <v>101</v>
      </c>
      <c r="AG26" s="114">
        <f t="shared" ref="AG26:AG45" si="21">AE26/AF26</f>
        <v>0.33557046979865768</v>
      </c>
      <c r="AH26" s="77">
        <v>1</v>
      </c>
      <c r="AI26" s="52">
        <v>45</v>
      </c>
      <c r="AJ26" s="83">
        <f t="shared" si="17"/>
        <v>15.100671140939596</v>
      </c>
      <c r="AK26" s="778"/>
      <c r="AL26" s="118"/>
      <c r="AM26" s="88">
        <v>2</v>
      </c>
      <c r="AN26" s="28" t="s">
        <v>154</v>
      </c>
      <c r="AO26" s="760" t="s">
        <v>142</v>
      </c>
      <c r="AP26" s="761"/>
      <c r="AQ26" s="116">
        <v>25</v>
      </c>
      <c r="AR26" s="27">
        <f>AR25</f>
        <v>149</v>
      </c>
      <c r="AS26" s="114">
        <f t="shared" ref="AS26:AS30" si="22">AQ26/AR26</f>
        <v>0.16778523489932887</v>
      </c>
      <c r="AT26" s="77">
        <v>1</v>
      </c>
      <c r="AU26" s="52">
        <v>120</v>
      </c>
      <c r="AV26" s="83">
        <f t="shared" si="18"/>
        <v>20.134228187919465</v>
      </c>
      <c r="AW26" s="778"/>
      <c r="AX26" s="21"/>
      <c r="AY26" s="5">
        <f t="shared" si="19"/>
        <v>1525.1677852348992</v>
      </c>
      <c r="BA26" s="113">
        <f t="shared" ref="BA26:BB50" si="23">AU26*AQ26</f>
        <v>3000</v>
      </c>
      <c r="BB26" s="5">
        <f t="shared" si="23"/>
        <v>3000.0000000000005</v>
      </c>
    </row>
    <row r="27" spans="1:61" ht="15" customHeight="1" outlineLevel="2">
      <c r="A27" s="746"/>
      <c r="B27" s="747"/>
      <c r="C27" s="235" t="e">
        <f>'расчет по услугам'!#REF!</f>
        <v>#REF!</v>
      </c>
      <c r="D27" s="238" t="e">
        <f>'расчет по услугам'!#REF!</f>
        <v>#REF!</v>
      </c>
      <c r="E27" s="780" t="e">
        <f>'расчет по услугам'!#REF!</f>
        <v>#REF!</v>
      </c>
      <c r="F27" s="781"/>
      <c r="G27" s="249">
        <f>G14</f>
        <v>48</v>
      </c>
      <c r="H27" s="291" t="e">
        <f>#REF!/G27</f>
        <v>#REF!</v>
      </c>
      <c r="I27" s="249">
        <v>1</v>
      </c>
      <c r="J27" s="252">
        <v>700</v>
      </c>
      <c r="K27" s="278">
        <f t="shared" si="15"/>
        <v>0</v>
      </c>
      <c r="L27" s="782"/>
      <c r="M27" s="269"/>
      <c r="Q27" s="28" t="s">
        <v>198</v>
      </c>
      <c r="R27" s="760" t="s">
        <v>142</v>
      </c>
      <c r="S27" s="761"/>
      <c r="T27" s="116">
        <f>6/149*U27</f>
        <v>1.9328859060402683</v>
      </c>
      <c r="U27" s="27">
        <f>U14</f>
        <v>48</v>
      </c>
      <c r="V27" s="87">
        <f t="shared" si="20"/>
        <v>4.0268456375838924E-2</v>
      </c>
      <c r="W27" s="77">
        <v>1</v>
      </c>
      <c r="X27" s="52">
        <v>700</v>
      </c>
      <c r="Y27" s="83">
        <f t="shared" si="16"/>
        <v>28.187919463087248</v>
      </c>
      <c r="AA27" s="88">
        <v>3</v>
      </c>
      <c r="AB27" s="28" t="s">
        <v>198</v>
      </c>
      <c r="AC27" s="760" t="s">
        <v>142</v>
      </c>
      <c r="AD27" s="761"/>
      <c r="AE27" s="116">
        <f>6/149*AF27</f>
        <v>4.0671140939597317</v>
      </c>
      <c r="AF27" s="27">
        <f>AF14</f>
        <v>101</v>
      </c>
      <c r="AG27" s="114">
        <f t="shared" si="21"/>
        <v>4.0268456375838931E-2</v>
      </c>
      <c r="AH27" s="77">
        <v>1</v>
      </c>
      <c r="AI27" s="52">
        <v>700</v>
      </c>
      <c r="AJ27" s="83">
        <f t="shared" si="17"/>
        <v>28.187919463087251</v>
      </c>
      <c r="AK27" s="778"/>
      <c r="AL27" s="118"/>
      <c r="AM27" s="88">
        <v>3</v>
      </c>
      <c r="AN27" s="28" t="s">
        <v>155</v>
      </c>
      <c r="AO27" s="760" t="s">
        <v>142</v>
      </c>
      <c r="AP27" s="761"/>
      <c r="AQ27" s="116">
        <v>25</v>
      </c>
      <c r="AR27" s="27">
        <f t="shared" ref="AR27:AR30" si="24">AR26</f>
        <v>149</v>
      </c>
      <c r="AS27" s="114">
        <f t="shared" si="22"/>
        <v>0.16778523489932887</v>
      </c>
      <c r="AT27" s="77">
        <v>1</v>
      </c>
      <c r="AU27" s="52">
        <v>100</v>
      </c>
      <c r="AV27" s="83">
        <f t="shared" si="18"/>
        <v>16.778523489932887</v>
      </c>
      <c r="AW27" s="778"/>
      <c r="AX27" s="21"/>
      <c r="AY27" s="5">
        <f t="shared" si="19"/>
        <v>2846.9798657718125</v>
      </c>
      <c r="BA27" s="113">
        <f t="shared" si="23"/>
        <v>2500</v>
      </c>
      <c r="BB27" s="5">
        <f t="shared" si="23"/>
        <v>2500</v>
      </c>
    </row>
    <row r="28" spans="1:61" ht="15" customHeight="1" outlineLevel="2">
      <c r="A28" s="746"/>
      <c r="B28" s="747"/>
      <c r="C28" s="235" t="e">
        <f>'расчет по услугам'!#REF!</f>
        <v>#REF!</v>
      </c>
      <c r="D28" s="238" t="e">
        <f>'расчет по услугам'!#REF!</f>
        <v>#REF!</v>
      </c>
      <c r="E28" s="780" t="e">
        <f>'расчет по услугам'!#REF!</f>
        <v>#REF!</v>
      </c>
      <c r="F28" s="781"/>
      <c r="G28" s="249">
        <f>G14</f>
        <v>48</v>
      </c>
      <c r="H28" s="291" t="e">
        <f>#REF!/G28</f>
        <v>#REF!</v>
      </c>
      <c r="I28" s="249">
        <v>1</v>
      </c>
      <c r="J28" s="252">
        <v>500</v>
      </c>
      <c r="K28" s="278">
        <f t="shared" si="15"/>
        <v>0</v>
      </c>
      <c r="L28" s="782"/>
      <c r="M28" s="269"/>
      <c r="Q28" s="28" t="s">
        <v>199</v>
      </c>
      <c r="R28" s="760" t="s">
        <v>142</v>
      </c>
      <c r="S28" s="761"/>
      <c r="T28" s="116">
        <f>7/149*U28</f>
        <v>2.2550335570469802</v>
      </c>
      <c r="U28" s="27">
        <f>U14</f>
        <v>48</v>
      </c>
      <c r="V28" s="87">
        <f t="shared" si="20"/>
        <v>4.6979865771812089E-2</v>
      </c>
      <c r="W28" s="77">
        <v>1</v>
      </c>
      <c r="X28" s="52">
        <v>500</v>
      </c>
      <c r="Y28" s="83">
        <f t="shared" si="16"/>
        <v>23.489932885906043</v>
      </c>
      <c r="AA28" s="88">
        <v>4</v>
      </c>
      <c r="AB28" s="28" t="s">
        <v>199</v>
      </c>
      <c r="AC28" s="760" t="s">
        <v>142</v>
      </c>
      <c r="AD28" s="761"/>
      <c r="AE28" s="116">
        <f>7/149*AF28</f>
        <v>4.7449664429530207</v>
      </c>
      <c r="AF28" s="27">
        <f>AF14</f>
        <v>101</v>
      </c>
      <c r="AG28" s="114">
        <f t="shared" si="21"/>
        <v>4.6979865771812089E-2</v>
      </c>
      <c r="AH28" s="77">
        <v>1</v>
      </c>
      <c r="AI28" s="52">
        <v>500</v>
      </c>
      <c r="AJ28" s="83">
        <f t="shared" si="17"/>
        <v>23.489932885906043</v>
      </c>
      <c r="AK28" s="778"/>
      <c r="AL28" s="118"/>
      <c r="AM28" s="88">
        <v>4</v>
      </c>
      <c r="AN28" s="28" t="s">
        <v>156</v>
      </c>
      <c r="AO28" s="760" t="s">
        <v>142</v>
      </c>
      <c r="AP28" s="761"/>
      <c r="AQ28" s="116">
        <v>2</v>
      </c>
      <c r="AR28" s="27">
        <f t="shared" si="24"/>
        <v>149</v>
      </c>
      <c r="AS28" s="114">
        <f t="shared" si="22"/>
        <v>1.3422818791946308E-2</v>
      </c>
      <c r="AT28" s="77">
        <v>1</v>
      </c>
      <c r="AU28" s="52">
        <v>3000</v>
      </c>
      <c r="AV28" s="83">
        <f t="shared" si="18"/>
        <v>40.268456375838923</v>
      </c>
      <c r="AW28" s="778"/>
      <c r="AX28" s="21"/>
      <c r="AY28" s="5">
        <f t="shared" si="19"/>
        <v>2372.4832214765102</v>
      </c>
      <c r="BA28" s="113">
        <f t="shared" si="23"/>
        <v>6000</v>
      </c>
      <c r="BB28" s="5">
        <f t="shared" si="23"/>
        <v>6000</v>
      </c>
    </row>
    <row r="29" spans="1:61" ht="15" customHeight="1" outlineLevel="2">
      <c r="A29" s="746"/>
      <c r="B29" s="747"/>
      <c r="C29" s="235" t="e">
        <f>'расчет по услугам'!#REF!</f>
        <v>#REF!</v>
      </c>
      <c r="D29" s="238" t="e">
        <f>'расчет по услугам'!#REF!</f>
        <v>#REF!</v>
      </c>
      <c r="E29" s="780" t="e">
        <f>'расчет по услугам'!#REF!</f>
        <v>#REF!</v>
      </c>
      <c r="F29" s="781"/>
      <c r="G29" s="249">
        <f>G14</f>
        <v>48</v>
      </c>
      <c r="H29" s="291" t="e">
        <f>#REF!/G29</f>
        <v>#REF!</v>
      </c>
      <c r="I29" s="249">
        <v>1</v>
      </c>
      <c r="J29" s="252">
        <v>140</v>
      </c>
      <c r="K29" s="278">
        <f t="shared" si="15"/>
        <v>0</v>
      </c>
      <c r="L29" s="782"/>
      <c r="M29" s="269"/>
      <c r="Q29" s="28" t="s">
        <v>144</v>
      </c>
      <c r="R29" s="760" t="s">
        <v>142</v>
      </c>
      <c r="S29" s="761"/>
      <c r="T29" s="116">
        <f>10/149*U29</f>
        <v>3.2214765100671139</v>
      </c>
      <c r="U29" s="27">
        <f>U14</f>
        <v>48</v>
      </c>
      <c r="V29" s="87">
        <f t="shared" si="20"/>
        <v>6.7114093959731544E-2</v>
      </c>
      <c r="W29" s="77">
        <v>1</v>
      </c>
      <c r="X29" s="52">
        <v>140</v>
      </c>
      <c r="Y29" s="83">
        <f t="shared" si="16"/>
        <v>9.3959731543624159</v>
      </c>
      <c r="AA29" s="88">
        <v>5</v>
      </c>
      <c r="AB29" s="28" t="s">
        <v>144</v>
      </c>
      <c r="AC29" s="760" t="s">
        <v>142</v>
      </c>
      <c r="AD29" s="761"/>
      <c r="AE29" s="116">
        <f>10/149*AF29</f>
        <v>6.7785234899328861</v>
      </c>
      <c r="AF29" s="27">
        <f>AF14</f>
        <v>101</v>
      </c>
      <c r="AG29" s="114">
        <f t="shared" si="21"/>
        <v>6.7114093959731544E-2</v>
      </c>
      <c r="AH29" s="77">
        <v>1</v>
      </c>
      <c r="AI29" s="52">
        <v>140</v>
      </c>
      <c r="AJ29" s="83">
        <f t="shared" si="17"/>
        <v>9.3959731543624159</v>
      </c>
      <c r="AK29" s="778"/>
      <c r="AL29" s="118"/>
      <c r="AM29" s="88">
        <v>5</v>
      </c>
      <c r="AN29" s="28" t="s">
        <v>157</v>
      </c>
      <c r="AO29" s="760" t="s">
        <v>142</v>
      </c>
      <c r="AP29" s="761"/>
      <c r="AQ29" s="116">
        <v>5</v>
      </c>
      <c r="AR29" s="27">
        <f t="shared" si="24"/>
        <v>149</v>
      </c>
      <c r="AS29" s="114">
        <f t="shared" si="22"/>
        <v>3.3557046979865772E-2</v>
      </c>
      <c r="AT29" s="77">
        <v>1</v>
      </c>
      <c r="AU29" s="52">
        <v>500</v>
      </c>
      <c r="AV29" s="83">
        <f t="shared" si="18"/>
        <v>16.778523489932887</v>
      </c>
      <c r="AW29" s="778"/>
      <c r="AX29" s="21"/>
      <c r="AY29" s="5">
        <f t="shared" si="19"/>
        <v>948.99328859060404</v>
      </c>
      <c r="BA29" s="113">
        <f t="shared" si="23"/>
        <v>2500</v>
      </c>
      <c r="BB29" s="5">
        <f t="shared" si="23"/>
        <v>2500</v>
      </c>
    </row>
    <row r="30" spans="1:61" ht="15" customHeight="1" outlineLevel="2">
      <c r="A30" s="746"/>
      <c r="B30" s="747"/>
      <c r="C30" s="235" t="e">
        <f>'расчет по услугам'!#REF!</f>
        <v>#REF!</v>
      </c>
      <c r="D30" s="238" t="e">
        <f>'расчет по услугам'!#REF!</f>
        <v>#REF!</v>
      </c>
      <c r="E30" s="780" t="e">
        <f>'расчет по услугам'!#REF!</f>
        <v>#REF!</v>
      </c>
      <c r="F30" s="781"/>
      <c r="G30" s="249">
        <f>G14</f>
        <v>48</v>
      </c>
      <c r="H30" s="291" t="e">
        <f>#REF!/G30</f>
        <v>#REF!</v>
      </c>
      <c r="I30" s="249">
        <v>1</v>
      </c>
      <c r="J30" s="252">
        <v>450</v>
      </c>
      <c r="K30" s="278">
        <f t="shared" si="15"/>
        <v>0</v>
      </c>
      <c r="L30" s="782"/>
      <c r="M30" s="269"/>
      <c r="Q30" s="28" t="s">
        <v>145</v>
      </c>
      <c r="R30" s="760" t="s">
        <v>142</v>
      </c>
      <c r="S30" s="761"/>
      <c r="T30" s="116">
        <f>20/149*U30</f>
        <v>6.4429530201342278</v>
      </c>
      <c r="U30" s="27">
        <f>U14</f>
        <v>48</v>
      </c>
      <c r="V30" s="87">
        <f t="shared" si="20"/>
        <v>0.13422818791946309</v>
      </c>
      <c r="W30" s="77">
        <v>1</v>
      </c>
      <c r="X30" s="52">
        <v>450</v>
      </c>
      <c r="Y30" s="83">
        <f t="shared" si="16"/>
        <v>60.402684563758392</v>
      </c>
      <c r="AA30" s="88">
        <v>6</v>
      </c>
      <c r="AB30" s="28" t="s">
        <v>145</v>
      </c>
      <c r="AC30" s="760" t="s">
        <v>142</v>
      </c>
      <c r="AD30" s="761"/>
      <c r="AE30" s="116">
        <f>20/149*AF30</f>
        <v>13.557046979865772</v>
      </c>
      <c r="AF30" s="27">
        <f>AF14</f>
        <v>101</v>
      </c>
      <c r="AG30" s="114">
        <f t="shared" si="21"/>
        <v>0.13422818791946309</v>
      </c>
      <c r="AH30" s="77">
        <v>1</v>
      </c>
      <c r="AI30" s="52">
        <v>450</v>
      </c>
      <c r="AJ30" s="83">
        <f t="shared" si="17"/>
        <v>60.402684563758392</v>
      </c>
      <c r="AK30" s="778"/>
      <c r="AL30" s="118"/>
      <c r="AM30" s="88">
        <v>6</v>
      </c>
      <c r="AN30" s="28" t="s">
        <v>200</v>
      </c>
      <c r="AO30" s="760" t="s">
        <v>142</v>
      </c>
      <c r="AP30" s="761"/>
      <c r="AQ30" s="116">
        <v>6</v>
      </c>
      <c r="AR30" s="27">
        <f t="shared" si="24"/>
        <v>149</v>
      </c>
      <c r="AS30" s="114">
        <f t="shared" si="22"/>
        <v>4.0268456375838924E-2</v>
      </c>
      <c r="AT30" s="77">
        <v>1</v>
      </c>
      <c r="AU30" s="52">
        <v>200</v>
      </c>
      <c r="AV30" s="83">
        <f t="shared" si="18"/>
        <v>8.0536912751677843</v>
      </c>
      <c r="AW30" s="778"/>
      <c r="AX30" s="21"/>
      <c r="AY30" s="5">
        <f t="shared" si="19"/>
        <v>6100.6711409395975</v>
      </c>
      <c r="BA30" s="113">
        <f t="shared" si="23"/>
        <v>1200</v>
      </c>
      <c r="BB30" s="5">
        <f>AV30*AR30</f>
        <v>1199.9999999999998</v>
      </c>
    </row>
    <row r="31" spans="1:61" ht="19.5" customHeight="1" outlineLevel="2">
      <c r="A31" s="746"/>
      <c r="B31" s="747"/>
      <c r="C31" s="235" t="s">
        <v>280</v>
      </c>
      <c r="D31" s="238" t="e">
        <f>'расчет по услугам'!#REF!</f>
        <v>#REF!</v>
      </c>
      <c r="E31" s="780" t="e">
        <f>'расчет по услугам'!#REF!</f>
        <v>#REF!</v>
      </c>
      <c r="F31" s="781"/>
      <c r="G31" s="249">
        <f>G14</f>
        <v>48</v>
      </c>
      <c r="H31" s="291" t="e">
        <f>#REF!/G31</f>
        <v>#REF!</v>
      </c>
      <c r="I31" s="249">
        <v>1</v>
      </c>
      <c r="J31" s="252">
        <v>850</v>
      </c>
      <c r="K31" s="278">
        <f t="shared" si="15"/>
        <v>0</v>
      </c>
      <c r="L31" s="782"/>
      <c r="M31" s="269"/>
      <c r="Q31" s="28" t="s">
        <v>146</v>
      </c>
      <c r="R31" s="760" t="s">
        <v>142</v>
      </c>
      <c r="S31" s="761"/>
      <c r="T31" s="116">
        <f>18/149*U31</f>
        <v>5.7986577181208059</v>
      </c>
      <c r="U31" s="27">
        <f>U14</f>
        <v>48</v>
      </c>
      <c r="V31" s="87">
        <f t="shared" si="20"/>
        <v>0.12080536912751678</v>
      </c>
      <c r="W31" s="77">
        <v>1</v>
      </c>
      <c r="X31" s="52">
        <v>850</v>
      </c>
      <c r="Y31" s="83">
        <f t="shared" si="16"/>
        <v>102.68456375838927</v>
      </c>
      <c r="AA31" s="88">
        <v>7</v>
      </c>
      <c r="AB31" s="28" t="s">
        <v>146</v>
      </c>
      <c r="AC31" s="760" t="s">
        <v>142</v>
      </c>
      <c r="AD31" s="761"/>
      <c r="AE31" s="116">
        <f>18/149*AF31</f>
        <v>12.201342281879196</v>
      </c>
      <c r="AF31" s="27">
        <f>AF14</f>
        <v>101</v>
      </c>
      <c r="AG31" s="114">
        <f t="shared" si="21"/>
        <v>0.12080536912751678</v>
      </c>
      <c r="AH31" s="77">
        <v>1</v>
      </c>
      <c r="AI31" s="52">
        <v>850</v>
      </c>
      <c r="AJ31" s="83">
        <f t="shared" si="17"/>
        <v>102.68456375838927</v>
      </c>
      <c r="AK31" s="778"/>
      <c r="AL31" s="118"/>
      <c r="AM31" s="88">
        <v>7</v>
      </c>
      <c r="AN31" s="28" t="s">
        <v>201</v>
      </c>
      <c r="AO31" s="760" t="s">
        <v>142</v>
      </c>
      <c r="AP31" s="761"/>
      <c r="AQ31" s="117">
        <v>12</v>
      </c>
      <c r="AR31" s="27">
        <v>149</v>
      </c>
      <c r="AS31" s="114">
        <f>AQ31/AR31</f>
        <v>8.0536912751677847E-2</v>
      </c>
      <c r="AT31" s="77">
        <v>1</v>
      </c>
      <c r="AU31" s="52">
        <v>900</v>
      </c>
      <c r="AV31" s="83">
        <f t="shared" si="18"/>
        <v>72.483221476510067</v>
      </c>
      <c r="AW31" s="778"/>
      <c r="AX31" s="21"/>
      <c r="AY31" s="5">
        <f t="shared" si="19"/>
        <v>10371.140939597317</v>
      </c>
      <c r="BA31" s="113">
        <f t="shared" si="23"/>
        <v>10800</v>
      </c>
      <c r="BB31" s="5">
        <f t="shared" si="23"/>
        <v>10800</v>
      </c>
    </row>
    <row r="32" spans="1:61" ht="15" customHeight="1" outlineLevel="2">
      <c r="A32" s="746"/>
      <c r="B32" s="747"/>
      <c r="C32" s="235" t="e">
        <f>'расчет по услугам'!#REF!</f>
        <v>#REF!</v>
      </c>
      <c r="D32" s="238" t="e">
        <f>'расчет по услугам'!#REF!</f>
        <v>#REF!</v>
      </c>
      <c r="E32" s="780" t="e">
        <f>'расчет по услугам'!#REF!</f>
        <v>#REF!</v>
      </c>
      <c r="F32" s="781"/>
      <c r="G32" s="249">
        <f>G14</f>
        <v>48</v>
      </c>
      <c r="H32" s="291" t="e">
        <f>#REF!/G32</f>
        <v>#REF!</v>
      </c>
      <c r="I32" s="249">
        <v>1</v>
      </c>
      <c r="J32" s="252">
        <v>8</v>
      </c>
      <c r="K32" s="278">
        <f t="shared" si="15"/>
        <v>0</v>
      </c>
      <c r="L32" s="782"/>
      <c r="M32" s="269"/>
      <c r="Q32" s="28" t="s">
        <v>202</v>
      </c>
      <c r="R32" s="760" t="s">
        <v>142</v>
      </c>
      <c r="S32" s="761"/>
      <c r="T32" s="116">
        <f>1000/149*U32</f>
        <v>322.14765100671138</v>
      </c>
      <c r="U32" s="27">
        <f>U14</f>
        <v>48</v>
      </c>
      <c r="V32" s="87">
        <f t="shared" si="20"/>
        <v>6.7114093959731536</v>
      </c>
      <c r="W32" s="77">
        <v>1</v>
      </c>
      <c r="X32" s="52">
        <v>8</v>
      </c>
      <c r="Y32" s="83">
        <f t="shared" si="16"/>
        <v>53.691275167785228</v>
      </c>
      <c r="AA32" s="88">
        <v>8</v>
      </c>
      <c r="AB32" s="28" t="s">
        <v>202</v>
      </c>
      <c r="AC32" s="760" t="s">
        <v>142</v>
      </c>
      <c r="AD32" s="761"/>
      <c r="AE32" s="116">
        <f>1000/149*AF32</f>
        <v>677.85234899328862</v>
      </c>
      <c r="AF32" s="27">
        <f>AF14</f>
        <v>101</v>
      </c>
      <c r="AG32" s="114">
        <f t="shared" si="21"/>
        <v>6.7114093959731544</v>
      </c>
      <c r="AH32" s="77">
        <v>1</v>
      </c>
      <c r="AI32" s="52">
        <v>8</v>
      </c>
      <c r="AJ32" s="83">
        <f t="shared" si="17"/>
        <v>53.691275167785236</v>
      </c>
      <c r="AK32" s="778"/>
      <c r="AL32" s="118"/>
      <c r="AM32" s="88">
        <v>8</v>
      </c>
      <c r="AN32" s="28" t="s">
        <v>203</v>
      </c>
      <c r="AO32" s="760" t="s">
        <v>142</v>
      </c>
      <c r="AP32" s="761"/>
      <c r="AQ32" s="116">
        <v>4</v>
      </c>
      <c r="AR32" s="27">
        <f>AR31</f>
        <v>149</v>
      </c>
      <c r="AS32" s="114">
        <f t="shared" ref="AS32:AS42" si="25">AQ32/AR32</f>
        <v>2.6845637583892617E-2</v>
      </c>
      <c r="AT32" s="77">
        <v>1</v>
      </c>
      <c r="AU32" s="52">
        <v>450</v>
      </c>
      <c r="AV32" s="83">
        <f t="shared" si="18"/>
        <v>12.080536912751677</v>
      </c>
      <c r="AW32" s="778"/>
      <c r="AX32" s="21"/>
      <c r="AY32" s="5">
        <f t="shared" si="19"/>
        <v>5422.8187919463089</v>
      </c>
      <c r="BA32" s="113">
        <f>AU32*AQ32</f>
        <v>1800</v>
      </c>
      <c r="BB32" s="5">
        <f t="shared" si="23"/>
        <v>1800</v>
      </c>
    </row>
    <row r="33" spans="1:54" ht="15" hidden="1" customHeight="1" outlineLevel="2">
      <c r="A33" s="746"/>
      <c r="B33" s="747"/>
      <c r="C33" s="235" t="e">
        <f>'расчет по услугам'!#REF!</f>
        <v>#REF!</v>
      </c>
      <c r="D33" s="238" t="e">
        <f>'расчет по услугам'!#REF!</f>
        <v>#REF!</v>
      </c>
      <c r="E33" s="780" t="e">
        <f>'расчет по услугам'!#REF!</f>
        <v>#REF!</v>
      </c>
      <c r="F33" s="781"/>
      <c r="G33" s="249">
        <f>G14</f>
        <v>48</v>
      </c>
      <c r="H33" s="291" t="e">
        <f>#REF!/G33</f>
        <v>#REF!</v>
      </c>
      <c r="I33" s="249">
        <v>1</v>
      </c>
      <c r="J33" s="252">
        <v>2</v>
      </c>
      <c r="K33" s="278">
        <f t="shared" si="15"/>
        <v>0</v>
      </c>
      <c r="L33" s="782"/>
      <c r="M33" s="269"/>
      <c r="Q33" s="28" t="s">
        <v>204</v>
      </c>
      <c r="R33" s="760" t="s">
        <v>142</v>
      </c>
      <c r="S33" s="761"/>
      <c r="T33" s="116">
        <f>35/149*U33</f>
        <v>11.275167785234899</v>
      </c>
      <c r="U33" s="27">
        <f>U14</f>
        <v>48</v>
      </c>
      <c r="V33" s="87">
        <f t="shared" si="20"/>
        <v>0.2348993288590604</v>
      </c>
      <c r="W33" s="77">
        <v>1</v>
      </c>
      <c r="X33" s="52">
        <v>2</v>
      </c>
      <c r="Y33" s="83">
        <f t="shared" si="16"/>
        <v>0.46979865771812079</v>
      </c>
      <c r="AA33" s="88">
        <v>9</v>
      </c>
      <c r="AB33" s="28" t="s">
        <v>204</v>
      </c>
      <c r="AC33" s="760" t="s">
        <v>142</v>
      </c>
      <c r="AD33" s="761"/>
      <c r="AE33" s="116">
        <f>35/149*AF33</f>
        <v>23.724832214765101</v>
      </c>
      <c r="AF33" s="27">
        <f>AF14</f>
        <v>101</v>
      </c>
      <c r="AG33" s="114">
        <f t="shared" si="21"/>
        <v>0.2348993288590604</v>
      </c>
      <c r="AH33" s="77">
        <v>1</v>
      </c>
      <c r="AI33" s="52">
        <v>2</v>
      </c>
      <c r="AJ33" s="83">
        <f t="shared" si="17"/>
        <v>0.46979865771812079</v>
      </c>
      <c r="AK33" s="778"/>
      <c r="AL33" s="118"/>
      <c r="AM33" s="88">
        <v>9</v>
      </c>
      <c r="AN33" s="28" t="s">
        <v>205</v>
      </c>
      <c r="AO33" s="760" t="s">
        <v>142</v>
      </c>
      <c r="AP33" s="761"/>
      <c r="AQ33" s="116">
        <v>10</v>
      </c>
      <c r="AR33" s="27">
        <f t="shared" ref="AR33:AR39" si="26">AR32</f>
        <v>149</v>
      </c>
      <c r="AS33" s="114">
        <f t="shared" si="25"/>
        <v>6.7114093959731544E-2</v>
      </c>
      <c r="AT33" s="77">
        <v>1</v>
      </c>
      <c r="AU33" s="52">
        <v>410</v>
      </c>
      <c r="AV33" s="83">
        <f t="shared" si="18"/>
        <v>27.516778523489933</v>
      </c>
      <c r="AW33" s="778"/>
      <c r="AX33" s="21"/>
      <c r="AY33" s="5">
        <f t="shared" si="19"/>
        <v>47.449664429530202</v>
      </c>
      <c r="BA33" s="113">
        <f t="shared" si="23"/>
        <v>4100</v>
      </c>
      <c r="BB33" s="5">
        <f t="shared" si="23"/>
        <v>4100</v>
      </c>
    </row>
    <row r="34" spans="1:54" ht="15" hidden="1" customHeight="1" outlineLevel="2">
      <c r="A34" s="746"/>
      <c r="B34" s="747"/>
      <c r="C34" s="235" t="e">
        <f>'расчет по услугам'!#REF!</f>
        <v>#REF!</v>
      </c>
      <c r="D34" s="238" t="e">
        <f>'расчет по услугам'!#REF!</f>
        <v>#REF!</v>
      </c>
      <c r="E34" s="780" t="e">
        <f>'расчет по услугам'!#REF!</f>
        <v>#REF!</v>
      </c>
      <c r="F34" s="781"/>
      <c r="G34" s="249">
        <f>G14</f>
        <v>48</v>
      </c>
      <c r="H34" s="291" t="e">
        <f>#REF!/G34</f>
        <v>#REF!</v>
      </c>
      <c r="I34" s="249">
        <v>1</v>
      </c>
      <c r="J34" s="252">
        <v>45</v>
      </c>
      <c r="K34" s="278">
        <f t="shared" si="15"/>
        <v>0</v>
      </c>
      <c r="L34" s="782"/>
      <c r="M34" s="269"/>
      <c r="Q34" s="28" t="s">
        <v>206</v>
      </c>
      <c r="R34" s="760" t="s">
        <v>147</v>
      </c>
      <c r="S34" s="761"/>
      <c r="T34" s="116">
        <f>145/149*U34</f>
        <v>46.711409395973156</v>
      </c>
      <c r="U34" s="27">
        <f>U14</f>
        <v>48</v>
      </c>
      <c r="V34" s="87">
        <f t="shared" si="20"/>
        <v>0.97315436241610742</v>
      </c>
      <c r="W34" s="77">
        <v>1</v>
      </c>
      <c r="X34" s="52">
        <v>45</v>
      </c>
      <c r="Y34" s="83">
        <f t="shared" si="16"/>
        <v>43.791946308724832</v>
      </c>
      <c r="AA34" s="88">
        <v>10</v>
      </c>
      <c r="AB34" s="28" t="s">
        <v>206</v>
      </c>
      <c r="AC34" s="760" t="s">
        <v>147</v>
      </c>
      <c r="AD34" s="761"/>
      <c r="AE34" s="116">
        <f>145/149*AF34</f>
        <v>98.288590604026851</v>
      </c>
      <c r="AF34" s="27">
        <f>AF14</f>
        <v>101</v>
      </c>
      <c r="AG34" s="114">
        <f t="shared" si="21"/>
        <v>0.97315436241610742</v>
      </c>
      <c r="AH34" s="77">
        <v>1</v>
      </c>
      <c r="AI34" s="52">
        <v>45</v>
      </c>
      <c r="AJ34" s="83">
        <f t="shared" si="17"/>
        <v>43.791946308724832</v>
      </c>
      <c r="AK34" s="778"/>
      <c r="AL34" s="118"/>
      <c r="AM34" s="88">
        <v>10</v>
      </c>
      <c r="AN34" s="28" t="s">
        <v>207</v>
      </c>
      <c r="AO34" s="760" t="s">
        <v>142</v>
      </c>
      <c r="AP34" s="761"/>
      <c r="AQ34" s="116">
        <v>10</v>
      </c>
      <c r="AR34" s="27">
        <f t="shared" si="26"/>
        <v>149</v>
      </c>
      <c r="AS34" s="114">
        <f t="shared" si="25"/>
        <v>6.7114093959731544E-2</v>
      </c>
      <c r="AT34" s="77">
        <v>1</v>
      </c>
      <c r="AU34" s="52">
        <v>330</v>
      </c>
      <c r="AV34" s="83">
        <f t="shared" si="18"/>
        <v>22.14765100671141</v>
      </c>
      <c r="AW34" s="778"/>
      <c r="AX34" s="21"/>
      <c r="AY34" s="5">
        <f t="shared" si="19"/>
        <v>4422.9865771812083</v>
      </c>
      <c r="BA34" s="113">
        <f t="shared" si="23"/>
        <v>3300</v>
      </c>
      <c r="BB34" s="5">
        <f t="shared" si="23"/>
        <v>3300</v>
      </c>
    </row>
    <row r="35" spans="1:54" ht="18" hidden="1" customHeight="1" outlineLevel="2">
      <c r="A35" s="746"/>
      <c r="B35" s="747"/>
      <c r="C35" s="235" t="e">
        <f>'расчет по услугам'!#REF!</f>
        <v>#REF!</v>
      </c>
      <c r="D35" s="238" t="e">
        <f>'расчет по услугам'!#REF!</f>
        <v>#REF!</v>
      </c>
      <c r="E35" s="780" t="e">
        <f>'расчет по услугам'!#REF!</f>
        <v>#REF!</v>
      </c>
      <c r="F35" s="781"/>
      <c r="G35" s="249">
        <f>G14</f>
        <v>48</v>
      </c>
      <c r="H35" s="291" t="e">
        <f>#REF!/G35</f>
        <v>#REF!</v>
      </c>
      <c r="I35" s="249">
        <v>1</v>
      </c>
      <c r="J35" s="252">
        <v>120</v>
      </c>
      <c r="K35" s="278">
        <f t="shared" si="15"/>
        <v>0</v>
      </c>
      <c r="L35" s="782"/>
      <c r="M35" s="269"/>
      <c r="Q35" s="28" t="s">
        <v>208</v>
      </c>
      <c r="R35" s="760" t="s">
        <v>147</v>
      </c>
      <c r="S35" s="761"/>
      <c r="T35" s="116">
        <f>145/149*U35</f>
        <v>46.711409395973156</v>
      </c>
      <c r="U35" s="27">
        <f>U14</f>
        <v>48</v>
      </c>
      <c r="V35" s="87">
        <f t="shared" si="20"/>
        <v>0.97315436241610742</v>
      </c>
      <c r="W35" s="77">
        <v>1</v>
      </c>
      <c r="X35" s="52">
        <v>120</v>
      </c>
      <c r="Y35" s="83">
        <f t="shared" si="16"/>
        <v>116.77852348993289</v>
      </c>
      <c r="AA35" s="88">
        <v>11</v>
      </c>
      <c r="AB35" s="28" t="s">
        <v>208</v>
      </c>
      <c r="AC35" s="760" t="s">
        <v>147</v>
      </c>
      <c r="AD35" s="761"/>
      <c r="AE35" s="116">
        <f>145/149*AF35</f>
        <v>98.288590604026851</v>
      </c>
      <c r="AF35" s="27">
        <f>AF14</f>
        <v>101</v>
      </c>
      <c r="AG35" s="114">
        <f t="shared" si="21"/>
        <v>0.97315436241610742</v>
      </c>
      <c r="AH35" s="77">
        <v>1</v>
      </c>
      <c r="AI35" s="52">
        <v>120</v>
      </c>
      <c r="AJ35" s="83">
        <f t="shared" si="17"/>
        <v>116.77852348993289</v>
      </c>
      <c r="AK35" s="778"/>
      <c r="AL35" s="118"/>
      <c r="AM35" s="88">
        <v>11</v>
      </c>
      <c r="AN35" s="28" t="s">
        <v>209</v>
      </c>
      <c r="AO35" s="760" t="s">
        <v>142</v>
      </c>
      <c r="AP35" s="761"/>
      <c r="AQ35" s="116">
        <v>25</v>
      </c>
      <c r="AR35" s="27">
        <f t="shared" si="26"/>
        <v>149</v>
      </c>
      <c r="AS35" s="114">
        <f t="shared" si="25"/>
        <v>0.16778523489932887</v>
      </c>
      <c r="AT35" s="77">
        <v>1</v>
      </c>
      <c r="AU35" s="52">
        <v>145</v>
      </c>
      <c r="AV35" s="83">
        <f t="shared" si="18"/>
        <v>24.328859060402685</v>
      </c>
      <c r="AW35" s="778"/>
      <c r="AX35" s="21"/>
      <c r="AY35" s="5">
        <f t="shared" si="19"/>
        <v>11794.630872483222</v>
      </c>
      <c r="BA35" s="113">
        <f t="shared" si="23"/>
        <v>3625</v>
      </c>
      <c r="BB35" s="5">
        <f t="shared" si="23"/>
        <v>3625</v>
      </c>
    </row>
    <row r="36" spans="1:54" ht="15" hidden="1" customHeight="1" outlineLevel="2">
      <c r="A36" s="746"/>
      <c r="B36" s="747"/>
      <c r="C36" s="235" t="e">
        <f>'расчет по услугам'!#REF!</f>
        <v>#REF!</v>
      </c>
      <c r="D36" s="238" t="e">
        <f>'расчет по услугам'!#REF!</f>
        <v>#REF!</v>
      </c>
      <c r="E36" s="780" t="e">
        <f>'расчет по услугам'!#REF!</f>
        <v>#REF!</v>
      </c>
      <c r="F36" s="781"/>
      <c r="G36" s="249">
        <f>G14</f>
        <v>48</v>
      </c>
      <c r="H36" s="291" t="e">
        <f>#REF!/G36</f>
        <v>#REF!</v>
      </c>
      <c r="I36" s="249">
        <v>1</v>
      </c>
      <c r="J36" s="252">
        <v>70</v>
      </c>
      <c r="K36" s="278">
        <f t="shared" si="15"/>
        <v>0</v>
      </c>
      <c r="L36" s="782"/>
      <c r="M36" s="269"/>
      <c r="Q36" s="28" t="s">
        <v>210</v>
      </c>
      <c r="R36" s="760" t="s">
        <v>147</v>
      </c>
      <c r="S36" s="761"/>
      <c r="T36" s="116">
        <f>25/149*U36</f>
        <v>8.053691275167786</v>
      </c>
      <c r="U36" s="27">
        <f>U14</f>
        <v>48</v>
      </c>
      <c r="V36" s="87">
        <f t="shared" si="20"/>
        <v>0.16778523489932887</v>
      </c>
      <c r="W36" s="77">
        <v>1</v>
      </c>
      <c r="X36" s="52">
        <v>70</v>
      </c>
      <c r="Y36" s="83">
        <f t="shared" si="16"/>
        <v>11.74496644295302</v>
      </c>
      <c r="AA36" s="88">
        <v>12</v>
      </c>
      <c r="AB36" s="28" t="s">
        <v>210</v>
      </c>
      <c r="AC36" s="760" t="s">
        <v>147</v>
      </c>
      <c r="AD36" s="761"/>
      <c r="AE36" s="116">
        <f>25/149*AF36</f>
        <v>16.946308724832214</v>
      </c>
      <c r="AF36" s="27">
        <f>AF14</f>
        <v>101</v>
      </c>
      <c r="AG36" s="114">
        <f t="shared" si="21"/>
        <v>0.16778523489932884</v>
      </c>
      <c r="AH36" s="77">
        <v>1</v>
      </c>
      <c r="AI36" s="52">
        <v>70</v>
      </c>
      <c r="AJ36" s="83">
        <f t="shared" si="17"/>
        <v>11.744966442953018</v>
      </c>
      <c r="AK36" s="778"/>
      <c r="AL36" s="118"/>
      <c r="AM36" s="88">
        <v>12</v>
      </c>
      <c r="AN36" s="28" t="s">
        <v>211</v>
      </c>
      <c r="AO36" s="760" t="s">
        <v>147</v>
      </c>
      <c r="AP36" s="761"/>
      <c r="AQ36" s="116">
        <v>6</v>
      </c>
      <c r="AR36" s="27">
        <f t="shared" si="26"/>
        <v>149</v>
      </c>
      <c r="AS36" s="114">
        <f t="shared" si="25"/>
        <v>4.0268456375838924E-2</v>
      </c>
      <c r="AT36" s="77">
        <v>1</v>
      </c>
      <c r="AU36" s="52">
        <v>470</v>
      </c>
      <c r="AV36" s="83">
        <f t="shared" si="18"/>
        <v>18.926174496644293</v>
      </c>
      <c r="AW36" s="778"/>
      <c r="AX36" s="21"/>
      <c r="AY36" s="5">
        <f t="shared" si="19"/>
        <v>1186.2416107382548</v>
      </c>
      <c r="BA36" s="113">
        <f t="shared" si="23"/>
        <v>2820</v>
      </c>
      <c r="BB36" s="5">
        <f t="shared" si="23"/>
        <v>2819.9999999999995</v>
      </c>
    </row>
    <row r="37" spans="1:54" ht="15" hidden="1" customHeight="1" outlineLevel="2">
      <c r="A37" s="746"/>
      <c r="B37" s="747"/>
      <c r="C37" s="235" t="e">
        <f>'расчет по услугам'!#REF!</f>
        <v>#REF!</v>
      </c>
      <c r="D37" s="238" t="e">
        <f>'расчет по услугам'!#REF!</f>
        <v>#REF!</v>
      </c>
      <c r="E37" s="780" t="e">
        <f>'расчет по услугам'!#REF!</f>
        <v>#REF!</v>
      </c>
      <c r="F37" s="781"/>
      <c r="G37" s="249">
        <f>G15</f>
        <v>48</v>
      </c>
      <c r="H37" s="291" t="e">
        <f>#REF!/G37</f>
        <v>#REF!</v>
      </c>
      <c r="I37" s="249">
        <v>1</v>
      </c>
      <c r="J37" s="252">
        <v>110</v>
      </c>
      <c r="K37" s="278">
        <f t="shared" si="15"/>
        <v>0</v>
      </c>
      <c r="L37" s="782"/>
      <c r="M37" s="269"/>
      <c r="Q37" s="28" t="s">
        <v>148</v>
      </c>
      <c r="R37" s="760" t="s">
        <v>142</v>
      </c>
      <c r="S37" s="761"/>
      <c r="T37" s="116">
        <f>100/149*U37</f>
        <v>32.214765100671144</v>
      </c>
      <c r="U37" s="27">
        <f>U15</f>
        <v>48</v>
      </c>
      <c r="V37" s="87">
        <f t="shared" si="20"/>
        <v>0.67114093959731547</v>
      </c>
      <c r="W37" s="77">
        <v>1</v>
      </c>
      <c r="X37" s="52">
        <v>110</v>
      </c>
      <c r="Y37" s="83">
        <f t="shared" si="16"/>
        <v>73.825503355704697</v>
      </c>
      <c r="AA37" s="88">
        <v>13</v>
      </c>
      <c r="AB37" s="28" t="s">
        <v>148</v>
      </c>
      <c r="AC37" s="760" t="s">
        <v>142</v>
      </c>
      <c r="AD37" s="761"/>
      <c r="AE37" s="116">
        <f>100/149*AF37</f>
        <v>67.785234899328856</v>
      </c>
      <c r="AF37" s="27">
        <f>AF15</f>
        <v>101</v>
      </c>
      <c r="AG37" s="114">
        <f t="shared" si="21"/>
        <v>0.67114093959731536</v>
      </c>
      <c r="AH37" s="77">
        <v>1</v>
      </c>
      <c r="AI37" s="52">
        <v>110</v>
      </c>
      <c r="AJ37" s="83">
        <f t="shared" si="17"/>
        <v>73.825503355704683</v>
      </c>
      <c r="AK37" s="778"/>
      <c r="AL37" s="118"/>
      <c r="AM37" s="88">
        <v>13</v>
      </c>
      <c r="AN37" s="28" t="s">
        <v>212</v>
      </c>
      <c r="AO37" s="760" t="s">
        <v>147</v>
      </c>
      <c r="AP37" s="761"/>
      <c r="AQ37" s="116">
        <v>6</v>
      </c>
      <c r="AR37" s="27">
        <f t="shared" si="26"/>
        <v>149</v>
      </c>
      <c r="AS37" s="114">
        <f t="shared" si="25"/>
        <v>4.0268456375838924E-2</v>
      </c>
      <c r="AT37" s="77">
        <v>1</v>
      </c>
      <c r="AU37" s="52">
        <v>350</v>
      </c>
      <c r="AV37" s="83">
        <f t="shared" si="18"/>
        <v>14.093959731543624</v>
      </c>
      <c r="AW37" s="778"/>
      <c r="AX37" s="21"/>
      <c r="AY37" s="5">
        <f t="shared" si="19"/>
        <v>7456.3758389261729</v>
      </c>
      <c r="BA37" s="113">
        <f t="shared" si="23"/>
        <v>2100</v>
      </c>
      <c r="BB37" s="5">
        <f t="shared" si="23"/>
        <v>2100</v>
      </c>
    </row>
    <row r="38" spans="1:54" ht="15" hidden="1" customHeight="1" outlineLevel="2">
      <c r="A38" s="746"/>
      <c r="B38" s="747"/>
      <c r="C38" s="235" t="e">
        <f>'расчет по услугам'!#REF!</f>
        <v>#REF!</v>
      </c>
      <c r="D38" s="238" t="e">
        <f>'расчет по услугам'!#REF!</f>
        <v>#REF!</v>
      </c>
      <c r="E38" s="780" t="e">
        <f>'расчет по услугам'!#REF!</f>
        <v>#REF!</v>
      </c>
      <c r="F38" s="781"/>
      <c r="G38" s="249">
        <f>G16</f>
        <v>48</v>
      </c>
      <c r="H38" s="291" t="e">
        <f>#REF!/G38</f>
        <v>#REF!</v>
      </c>
      <c r="I38" s="249">
        <v>1</v>
      </c>
      <c r="J38" s="252">
        <v>50</v>
      </c>
      <c r="K38" s="278">
        <f t="shared" si="15"/>
        <v>0</v>
      </c>
      <c r="L38" s="782"/>
      <c r="M38" s="269"/>
      <c r="Q38" s="28" t="s">
        <v>149</v>
      </c>
      <c r="R38" s="760" t="s">
        <v>142</v>
      </c>
      <c r="S38" s="761"/>
      <c r="T38" s="116">
        <f>145/149*U38</f>
        <v>46.711409395973156</v>
      </c>
      <c r="U38" s="27">
        <f>U16</f>
        <v>48</v>
      </c>
      <c r="V38" s="87">
        <f t="shared" si="20"/>
        <v>0.97315436241610742</v>
      </c>
      <c r="W38" s="77">
        <v>1</v>
      </c>
      <c r="X38" s="52">
        <v>50</v>
      </c>
      <c r="Y38" s="83">
        <f t="shared" si="16"/>
        <v>48.65771812080537</v>
      </c>
      <c r="AA38" s="88">
        <v>14</v>
      </c>
      <c r="AB38" s="28" t="s">
        <v>149</v>
      </c>
      <c r="AC38" s="760" t="s">
        <v>142</v>
      </c>
      <c r="AD38" s="761"/>
      <c r="AE38" s="116">
        <f>145/149*AF38</f>
        <v>98.288590604026851</v>
      </c>
      <c r="AF38" s="27">
        <f>AF16</f>
        <v>101</v>
      </c>
      <c r="AG38" s="114">
        <f t="shared" si="21"/>
        <v>0.97315436241610742</v>
      </c>
      <c r="AH38" s="77">
        <v>1</v>
      </c>
      <c r="AI38" s="52">
        <v>50</v>
      </c>
      <c r="AJ38" s="83">
        <f t="shared" si="17"/>
        <v>48.65771812080537</v>
      </c>
      <c r="AK38" s="778"/>
      <c r="AL38" s="118"/>
      <c r="AM38" s="88">
        <v>14</v>
      </c>
      <c r="AN38" s="28" t="s">
        <v>213</v>
      </c>
      <c r="AO38" s="760" t="s">
        <v>142</v>
      </c>
      <c r="AP38" s="761"/>
      <c r="AQ38" s="116">
        <v>12</v>
      </c>
      <c r="AR38" s="27">
        <f t="shared" si="26"/>
        <v>149</v>
      </c>
      <c r="AS38" s="114">
        <f t="shared" si="25"/>
        <v>8.0536912751677847E-2</v>
      </c>
      <c r="AT38" s="77">
        <v>1</v>
      </c>
      <c r="AU38" s="52">
        <v>300</v>
      </c>
      <c r="AV38" s="83">
        <f t="shared" si="18"/>
        <v>24.161073825503355</v>
      </c>
      <c r="AW38" s="778"/>
      <c r="AX38" s="21"/>
      <c r="AY38" s="5">
        <f t="shared" si="19"/>
        <v>4914.4295302013425</v>
      </c>
      <c r="BA38" s="113">
        <f t="shared" si="23"/>
        <v>3600</v>
      </c>
      <c r="BB38" s="5">
        <f t="shared" si="23"/>
        <v>3600</v>
      </c>
    </row>
    <row r="39" spans="1:54" ht="15" hidden="1" customHeight="1" outlineLevel="2">
      <c r="A39" s="746"/>
      <c r="B39" s="747"/>
      <c r="C39" s="235" t="e">
        <f>'расчет по услугам'!#REF!</f>
        <v>#REF!</v>
      </c>
      <c r="D39" s="238" t="e">
        <f>'расчет по услугам'!#REF!</f>
        <v>#REF!</v>
      </c>
      <c r="E39" s="780" t="e">
        <f>'расчет по услугам'!#REF!</f>
        <v>#REF!</v>
      </c>
      <c r="F39" s="781"/>
      <c r="G39" s="249">
        <f>G38</f>
        <v>48</v>
      </c>
      <c r="H39" s="291" t="e">
        <f>#REF!/G39</f>
        <v>#REF!</v>
      </c>
      <c r="I39" s="249">
        <v>1</v>
      </c>
      <c r="J39" s="252">
        <v>60</v>
      </c>
      <c r="K39" s="278">
        <f t="shared" si="15"/>
        <v>0</v>
      </c>
      <c r="L39" s="782"/>
      <c r="M39" s="269"/>
      <c r="Q39" s="28" t="s">
        <v>150</v>
      </c>
      <c r="R39" s="760" t="s">
        <v>142</v>
      </c>
      <c r="S39" s="761"/>
      <c r="T39" s="116">
        <f>145/149*U39</f>
        <v>46.711409395973156</v>
      </c>
      <c r="U39" s="27">
        <f>U38</f>
        <v>48</v>
      </c>
      <c r="V39" s="87">
        <f t="shared" si="20"/>
        <v>0.97315436241610742</v>
      </c>
      <c r="W39" s="77">
        <v>1</v>
      </c>
      <c r="X39" s="52">
        <v>60</v>
      </c>
      <c r="Y39" s="83">
        <f t="shared" si="16"/>
        <v>58.389261744966447</v>
      </c>
      <c r="AA39" s="88">
        <v>15</v>
      </c>
      <c r="AB39" s="28" t="s">
        <v>150</v>
      </c>
      <c r="AC39" s="760" t="s">
        <v>142</v>
      </c>
      <c r="AD39" s="761"/>
      <c r="AE39" s="116">
        <f>145/149*AF39</f>
        <v>98.288590604026851</v>
      </c>
      <c r="AF39" s="27">
        <f>AF38</f>
        <v>101</v>
      </c>
      <c r="AG39" s="114">
        <f t="shared" si="21"/>
        <v>0.97315436241610742</v>
      </c>
      <c r="AH39" s="77">
        <v>1</v>
      </c>
      <c r="AI39" s="52">
        <v>60</v>
      </c>
      <c r="AJ39" s="83">
        <f t="shared" si="17"/>
        <v>58.389261744966447</v>
      </c>
      <c r="AK39" s="778"/>
      <c r="AL39" s="118"/>
      <c r="AM39" s="88">
        <v>15</v>
      </c>
      <c r="AN39" s="28" t="s">
        <v>214</v>
      </c>
      <c r="AO39" s="760" t="s">
        <v>142</v>
      </c>
      <c r="AP39" s="761"/>
      <c r="AQ39" s="116">
        <v>20</v>
      </c>
      <c r="AR39" s="27">
        <f t="shared" si="26"/>
        <v>149</v>
      </c>
      <c r="AS39" s="114">
        <f t="shared" si="25"/>
        <v>0.13422818791946309</v>
      </c>
      <c r="AT39" s="77">
        <v>1</v>
      </c>
      <c r="AU39" s="52">
        <v>500</v>
      </c>
      <c r="AV39" s="83">
        <f t="shared" si="18"/>
        <v>67.114093959731548</v>
      </c>
      <c r="AW39" s="778"/>
      <c r="AX39" s="21"/>
      <c r="AY39" s="5">
        <f t="shared" si="19"/>
        <v>5897.3154362416108</v>
      </c>
      <c r="BA39" s="113">
        <f t="shared" si="23"/>
        <v>10000</v>
      </c>
      <c r="BB39" s="5">
        <f t="shared" si="23"/>
        <v>10000</v>
      </c>
    </row>
    <row r="40" spans="1:54" ht="16.5" hidden="1" customHeight="1" outlineLevel="2">
      <c r="A40" s="746"/>
      <c r="B40" s="747"/>
      <c r="C40" s="235" t="e">
        <f>'расчет по услугам'!#REF!</f>
        <v>#REF!</v>
      </c>
      <c r="D40" s="238" t="e">
        <f>'расчет по услугам'!#REF!</f>
        <v>#REF!</v>
      </c>
      <c r="E40" s="780" t="e">
        <f>'расчет по услугам'!#REF!</f>
        <v>#REF!</v>
      </c>
      <c r="F40" s="781"/>
      <c r="G40" s="249">
        <f t="shared" ref="G40:G41" si="27">G17</f>
        <v>48</v>
      </c>
      <c r="H40" s="291" t="e">
        <f>#REF!/G40</f>
        <v>#REF!</v>
      </c>
      <c r="I40" s="249">
        <v>1</v>
      </c>
      <c r="J40" s="252">
        <v>30</v>
      </c>
      <c r="K40" s="278">
        <f t="shared" si="15"/>
        <v>0</v>
      </c>
      <c r="L40" s="782"/>
      <c r="M40" s="269"/>
      <c r="Q40" s="28" t="s">
        <v>215</v>
      </c>
      <c r="R40" s="760" t="s">
        <v>147</v>
      </c>
      <c r="S40" s="761"/>
      <c r="T40" s="116">
        <f>145/149*U40</f>
        <v>46.711409395973156</v>
      </c>
      <c r="U40" s="27">
        <f t="shared" ref="U40:U41" si="28">U17</f>
        <v>48</v>
      </c>
      <c r="V40" s="87">
        <f t="shared" si="20"/>
        <v>0.97315436241610742</v>
      </c>
      <c r="W40" s="77">
        <v>1</v>
      </c>
      <c r="X40" s="52">
        <v>30</v>
      </c>
      <c r="Y40" s="83">
        <f t="shared" si="16"/>
        <v>29.194630872483224</v>
      </c>
      <c r="AA40" s="88">
        <v>16</v>
      </c>
      <c r="AB40" s="28" t="s">
        <v>215</v>
      </c>
      <c r="AC40" s="760" t="s">
        <v>147</v>
      </c>
      <c r="AD40" s="761"/>
      <c r="AE40" s="116">
        <f>145/149*AF40</f>
        <v>98.288590604026851</v>
      </c>
      <c r="AF40" s="27">
        <f t="shared" ref="AF40:AF41" si="29">AF17</f>
        <v>101</v>
      </c>
      <c r="AG40" s="114">
        <f t="shared" si="21"/>
        <v>0.97315436241610742</v>
      </c>
      <c r="AH40" s="77">
        <v>1</v>
      </c>
      <c r="AI40" s="52">
        <v>30</v>
      </c>
      <c r="AJ40" s="83">
        <f t="shared" si="17"/>
        <v>29.194630872483224</v>
      </c>
      <c r="AK40" s="778"/>
      <c r="AL40" s="118"/>
      <c r="AM40" s="88">
        <v>16</v>
      </c>
      <c r="AN40" s="28" t="s">
        <v>158</v>
      </c>
      <c r="AO40" s="760" t="s">
        <v>142</v>
      </c>
      <c r="AP40" s="761"/>
      <c r="AQ40" s="116">
        <v>100</v>
      </c>
      <c r="AR40" s="27">
        <v>149</v>
      </c>
      <c r="AS40" s="114">
        <f t="shared" si="25"/>
        <v>0.67114093959731547</v>
      </c>
      <c r="AT40" s="77">
        <v>1</v>
      </c>
      <c r="AU40" s="52">
        <v>250</v>
      </c>
      <c r="AV40" s="83">
        <f t="shared" si="18"/>
        <v>167.78523489932886</v>
      </c>
      <c r="AW40" s="778"/>
      <c r="AX40" s="21"/>
      <c r="AY40" s="5">
        <f t="shared" si="19"/>
        <v>2948.6577181208054</v>
      </c>
      <c r="BA40" s="113">
        <f t="shared" si="23"/>
        <v>25000</v>
      </c>
      <c r="BB40" s="5">
        <f t="shared" si="23"/>
        <v>25000</v>
      </c>
    </row>
    <row r="41" spans="1:54" ht="15" hidden="1" customHeight="1" outlineLevel="2">
      <c r="A41" s="746"/>
      <c r="B41" s="747"/>
      <c r="C41" s="235" t="e">
        <f>'расчет по услугам'!#REF!</f>
        <v>#REF!</v>
      </c>
      <c r="D41" s="238" t="e">
        <f>'расчет по услугам'!#REF!</f>
        <v>#REF!</v>
      </c>
      <c r="E41" s="780" t="e">
        <f>'расчет по услугам'!#REF!</f>
        <v>#REF!</v>
      </c>
      <c r="F41" s="781"/>
      <c r="G41" s="249">
        <f t="shared" si="27"/>
        <v>48</v>
      </c>
      <c r="H41" s="291" t="e">
        <f>#REF!/G41</f>
        <v>#REF!</v>
      </c>
      <c r="I41" s="249">
        <v>1</v>
      </c>
      <c r="J41" s="252">
        <v>35</v>
      </c>
      <c r="K41" s="278">
        <f t="shared" si="15"/>
        <v>0</v>
      </c>
      <c r="L41" s="782"/>
      <c r="M41" s="269"/>
      <c r="Q41" s="28" t="s">
        <v>151</v>
      </c>
      <c r="R41" s="760" t="s">
        <v>147</v>
      </c>
      <c r="S41" s="761"/>
      <c r="T41" s="116">
        <f>145/149*U41</f>
        <v>46.711409395973156</v>
      </c>
      <c r="U41" s="27">
        <f t="shared" si="28"/>
        <v>48</v>
      </c>
      <c r="V41" s="87">
        <f t="shared" si="20"/>
        <v>0.97315436241610742</v>
      </c>
      <c r="W41" s="77">
        <v>1</v>
      </c>
      <c r="X41" s="52">
        <v>35</v>
      </c>
      <c r="Y41" s="83">
        <f t="shared" si="16"/>
        <v>34.060402684563762</v>
      </c>
      <c r="AA41" s="88">
        <v>17</v>
      </c>
      <c r="AB41" s="28" t="s">
        <v>151</v>
      </c>
      <c r="AC41" s="760" t="s">
        <v>147</v>
      </c>
      <c r="AD41" s="761"/>
      <c r="AE41" s="116">
        <f>145/149*AF41</f>
        <v>98.288590604026851</v>
      </c>
      <c r="AF41" s="27">
        <f t="shared" si="29"/>
        <v>101</v>
      </c>
      <c r="AG41" s="114">
        <f t="shared" si="21"/>
        <v>0.97315436241610742</v>
      </c>
      <c r="AH41" s="77">
        <v>1</v>
      </c>
      <c r="AI41" s="52">
        <v>35</v>
      </c>
      <c r="AJ41" s="83">
        <f t="shared" si="17"/>
        <v>34.060402684563762</v>
      </c>
      <c r="AK41" s="778"/>
      <c r="AL41" s="118"/>
      <c r="AM41" s="88">
        <v>17</v>
      </c>
      <c r="AN41" s="28" t="s">
        <v>159</v>
      </c>
      <c r="AO41" s="760" t="s">
        <v>142</v>
      </c>
      <c r="AP41" s="761"/>
      <c r="AQ41" s="116">
        <v>20</v>
      </c>
      <c r="AR41" s="27">
        <v>149</v>
      </c>
      <c r="AS41" s="114">
        <f t="shared" si="25"/>
        <v>0.13422818791946309</v>
      </c>
      <c r="AT41" s="77">
        <v>1</v>
      </c>
      <c r="AU41" s="52">
        <v>80</v>
      </c>
      <c r="AV41" s="83">
        <f t="shared" si="18"/>
        <v>10.738255033557047</v>
      </c>
      <c r="AW41" s="778"/>
      <c r="AX41" s="21"/>
      <c r="AY41" s="5">
        <f t="shared" si="19"/>
        <v>3440.10067114094</v>
      </c>
      <c r="BA41" s="113">
        <f t="shared" si="23"/>
        <v>1600</v>
      </c>
      <c r="BB41" s="5">
        <f t="shared" si="23"/>
        <v>1600</v>
      </c>
    </row>
    <row r="42" spans="1:54" ht="15" hidden="1" customHeight="1" outlineLevel="2">
      <c r="A42" s="746"/>
      <c r="B42" s="747"/>
      <c r="C42" s="235" t="e">
        <f>'расчет по услугам'!#REF!</f>
        <v>#REF!</v>
      </c>
      <c r="D42" s="238" t="e">
        <f>'расчет по услугам'!#REF!</f>
        <v>#REF!</v>
      </c>
      <c r="E42" s="780" t="e">
        <f>'расчет по услугам'!#REF!</f>
        <v>#REF!</v>
      </c>
      <c r="F42" s="781"/>
      <c r="G42" s="249">
        <f>G41</f>
        <v>48</v>
      </c>
      <c r="H42" s="291" t="e">
        <f>#REF!/G42</f>
        <v>#REF!</v>
      </c>
      <c r="I42" s="249">
        <v>1</v>
      </c>
      <c r="J42" s="252">
        <v>17</v>
      </c>
      <c r="K42" s="278">
        <f t="shared" si="15"/>
        <v>0</v>
      </c>
      <c r="L42" s="782"/>
      <c r="M42" s="269"/>
      <c r="Q42" s="28" t="s">
        <v>216</v>
      </c>
      <c r="R42" s="760" t="s">
        <v>142</v>
      </c>
      <c r="S42" s="761"/>
      <c r="T42" s="116">
        <f>15/149*U42</f>
        <v>4.8322147651006713</v>
      </c>
      <c r="U42" s="27">
        <f>U41</f>
        <v>48</v>
      </c>
      <c r="V42" s="87">
        <f t="shared" si="20"/>
        <v>0.10067114093959732</v>
      </c>
      <c r="W42" s="77">
        <v>1</v>
      </c>
      <c r="X42" s="52">
        <v>17</v>
      </c>
      <c r="Y42" s="83">
        <f t="shared" si="16"/>
        <v>1.7114093959731544</v>
      </c>
      <c r="AA42" s="88">
        <v>18</v>
      </c>
      <c r="AB42" s="28" t="s">
        <v>216</v>
      </c>
      <c r="AC42" s="760" t="s">
        <v>142</v>
      </c>
      <c r="AD42" s="761"/>
      <c r="AE42" s="116">
        <f>15/149*AF42</f>
        <v>10.167785234899329</v>
      </c>
      <c r="AF42" s="27">
        <f>AF41</f>
        <v>101</v>
      </c>
      <c r="AG42" s="114">
        <f t="shared" si="21"/>
        <v>0.10067114093959731</v>
      </c>
      <c r="AH42" s="77">
        <v>1</v>
      </c>
      <c r="AI42" s="52">
        <v>17</v>
      </c>
      <c r="AJ42" s="83">
        <f t="shared" si="17"/>
        <v>1.7114093959731542</v>
      </c>
      <c r="AK42" s="778"/>
      <c r="AL42" s="118"/>
      <c r="AM42" s="88">
        <v>18</v>
      </c>
      <c r="AN42" s="28" t="s">
        <v>160</v>
      </c>
      <c r="AO42" s="760" t="s">
        <v>142</v>
      </c>
      <c r="AP42" s="761"/>
      <c r="AQ42" s="116">
        <v>100</v>
      </c>
      <c r="AR42" s="27">
        <v>149</v>
      </c>
      <c r="AS42" s="114">
        <f t="shared" si="25"/>
        <v>0.67114093959731547</v>
      </c>
      <c r="AT42" s="77">
        <v>1</v>
      </c>
      <c r="AU42" s="52">
        <v>35</v>
      </c>
      <c r="AV42" s="83">
        <f t="shared" si="18"/>
        <v>23.48993288590604</v>
      </c>
      <c r="AW42" s="778"/>
      <c r="AX42" s="21"/>
      <c r="AY42" s="5">
        <f t="shared" si="19"/>
        <v>172.85234899328859</v>
      </c>
      <c r="BA42" s="113">
        <f t="shared" si="23"/>
        <v>3500</v>
      </c>
      <c r="BB42" s="5">
        <f t="shared" si="23"/>
        <v>3500</v>
      </c>
    </row>
    <row r="43" spans="1:54" ht="15" hidden="1" customHeight="1" outlineLevel="2">
      <c r="A43" s="746"/>
      <c r="B43" s="747"/>
      <c r="C43" s="235" t="e">
        <f>'расчет по услугам'!#REF!</f>
        <v>#REF!</v>
      </c>
      <c r="D43" s="238" t="e">
        <f>'расчет по услугам'!#REF!</f>
        <v>#REF!</v>
      </c>
      <c r="E43" s="780" t="e">
        <f>'расчет по услугам'!#REF!</f>
        <v>#REF!</v>
      </c>
      <c r="F43" s="781"/>
      <c r="G43" s="249">
        <f>G42</f>
        <v>48</v>
      </c>
      <c r="H43" s="291" t="e">
        <f>#REF!/G43</f>
        <v>#REF!</v>
      </c>
      <c r="I43" s="249">
        <v>1</v>
      </c>
      <c r="J43" s="252">
        <v>90</v>
      </c>
      <c r="K43" s="278">
        <f t="shared" si="15"/>
        <v>0</v>
      </c>
      <c r="L43" s="782"/>
      <c r="M43" s="269"/>
      <c r="Q43" s="28" t="s">
        <v>217</v>
      </c>
      <c r="R43" s="760" t="s">
        <v>147</v>
      </c>
      <c r="S43" s="761"/>
      <c r="T43" s="116">
        <f>20/149*U43</f>
        <v>6.4429530201342278</v>
      </c>
      <c r="U43" s="27">
        <f>U42</f>
        <v>48</v>
      </c>
      <c r="V43" s="87">
        <f t="shared" si="20"/>
        <v>0.13422818791946309</v>
      </c>
      <c r="W43" s="77">
        <v>1</v>
      </c>
      <c r="X43" s="52">
        <v>90</v>
      </c>
      <c r="Y43" s="83">
        <f t="shared" si="16"/>
        <v>12.080536912751677</v>
      </c>
      <c r="AA43" s="88">
        <v>19</v>
      </c>
      <c r="AB43" s="28" t="s">
        <v>217</v>
      </c>
      <c r="AC43" s="760" t="s">
        <v>147</v>
      </c>
      <c r="AD43" s="761"/>
      <c r="AE43" s="116">
        <f>20/149*AF43</f>
        <v>13.557046979865772</v>
      </c>
      <c r="AF43" s="27">
        <f>AF42</f>
        <v>101</v>
      </c>
      <c r="AG43" s="114">
        <f t="shared" si="21"/>
        <v>0.13422818791946309</v>
      </c>
      <c r="AH43" s="77">
        <v>1</v>
      </c>
      <c r="AI43" s="52">
        <v>90</v>
      </c>
      <c r="AJ43" s="83">
        <f t="shared" si="17"/>
        <v>12.080536912751677</v>
      </c>
      <c r="AK43" s="778"/>
      <c r="AL43" s="118"/>
      <c r="AM43" s="119"/>
      <c r="AN43" s="53"/>
      <c r="AO43" s="783"/>
      <c r="AP43" s="784"/>
      <c r="AQ43" s="120"/>
      <c r="AR43" s="121"/>
      <c r="AS43" s="122"/>
      <c r="AT43" s="84"/>
      <c r="AU43" s="54"/>
      <c r="AV43" s="123"/>
      <c r="AW43" s="778"/>
      <c r="AX43" s="21"/>
      <c r="AY43" s="5">
        <f t="shared" si="19"/>
        <v>1220.1342281879195</v>
      </c>
      <c r="BA43" s="113">
        <f t="shared" si="23"/>
        <v>0</v>
      </c>
      <c r="BB43" s="5">
        <f t="shared" si="23"/>
        <v>0</v>
      </c>
    </row>
    <row r="44" spans="1:54" ht="30" customHeight="1" outlineLevel="2">
      <c r="A44" s="746"/>
      <c r="B44" s="747"/>
      <c r="C44" s="235" t="e">
        <f>'расчет по услугам'!#REF!</f>
        <v>#REF!</v>
      </c>
      <c r="D44" s="238" t="e">
        <f>'расчет по услугам'!#REF!</f>
        <v>#REF!</v>
      </c>
      <c r="E44" s="780" t="e">
        <f>'расчет по услугам'!#REF!</f>
        <v>#REF!</v>
      </c>
      <c r="F44" s="781"/>
      <c r="G44" s="249">
        <f t="shared" ref="G44" si="30">G43</f>
        <v>48</v>
      </c>
      <c r="H44" s="291" t="e">
        <f>#REF!/G44</f>
        <v>#REF!</v>
      </c>
      <c r="I44" s="249">
        <v>1</v>
      </c>
      <c r="J44" s="252">
        <v>117.7</v>
      </c>
      <c r="K44" s="278">
        <f t="shared" si="15"/>
        <v>0</v>
      </c>
      <c r="L44" s="782"/>
      <c r="M44" s="269"/>
      <c r="Q44" s="28" t="s">
        <v>218</v>
      </c>
      <c r="R44" s="760" t="s">
        <v>147</v>
      </c>
      <c r="S44" s="761"/>
      <c r="T44" s="116">
        <f>10/149*U44</f>
        <v>3.2214765100671139</v>
      </c>
      <c r="U44" s="27">
        <f t="shared" ref="U44" si="31">U43</f>
        <v>48</v>
      </c>
      <c r="V44" s="87">
        <f t="shared" si="20"/>
        <v>6.7114093959731544E-2</v>
      </c>
      <c r="W44" s="77">
        <v>1</v>
      </c>
      <c r="X44" s="52">
        <v>117.7</v>
      </c>
      <c r="Y44" s="83">
        <f t="shared" si="16"/>
        <v>7.8993288590604029</v>
      </c>
      <c r="AA44" s="88">
        <v>20</v>
      </c>
      <c r="AB44" s="28" t="s">
        <v>218</v>
      </c>
      <c r="AC44" s="760" t="s">
        <v>147</v>
      </c>
      <c r="AD44" s="761"/>
      <c r="AE44" s="116">
        <f>10/149*AF44</f>
        <v>6.7785234899328861</v>
      </c>
      <c r="AF44" s="27">
        <f t="shared" ref="AF44" si="32">AF43</f>
        <v>101</v>
      </c>
      <c r="AG44" s="114">
        <f t="shared" si="21"/>
        <v>6.7114093959731544E-2</v>
      </c>
      <c r="AH44" s="77">
        <v>1</v>
      </c>
      <c r="AI44" s="52">
        <v>117.7</v>
      </c>
      <c r="AJ44" s="83">
        <f t="shared" si="17"/>
        <v>7.8993288590604029</v>
      </c>
      <c r="AK44" s="778"/>
      <c r="AL44" s="118"/>
      <c r="AM44" s="88">
        <v>20</v>
      </c>
      <c r="AN44" s="28" t="s">
        <v>219</v>
      </c>
      <c r="AO44" s="760" t="s">
        <v>142</v>
      </c>
      <c r="AP44" s="761"/>
      <c r="AQ44" s="117">
        <v>100</v>
      </c>
      <c r="AR44" s="27">
        <v>149</v>
      </c>
      <c r="AS44" s="114">
        <f t="shared" ref="AS44:AS48" si="33">AQ44/AR44</f>
        <v>0.67114093959731547</v>
      </c>
      <c r="AT44" s="77">
        <v>1</v>
      </c>
      <c r="AU44" s="52">
        <v>50</v>
      </c>
      <c r="AV44" s="83">
        <f t="shared" ref="AV44:AV48" si="34">IFERROR(AS44*AU44/AT44,0)</f>
        <v>33.557046979865774</v>
      </c>
      <c r="AW44" s="778"/>
      <c r="AX44" s="21"/>
      <c r="AY44" s="5">
        <f t="shared" si="19"/>
        <v>797.83221476510073</v>
      </c>
      <c r="BA44" s="113">
        <f t="shared" si="23"/>
        <v>5000</v>
      </c>
      <c r="BB44" s="5">
        <f t="shared" si="23"/>
        <v>5000</v>
      </c>
    </row>
    <row r="45" spans="1:54" ht="15" hidden="1" customHeight="1" outlineLevel="2">
      <c r="A45" s="746"/>
      <c r="B45" s="747"/>
      <c r="C45" s="235" t="e">
        <f>'расчет по услугам'!#REF!</f>
        <v>#REF!</v>
      </c>
      <c r="D45" s="238" t="e">
        <f>'расчет по услугам'!#REF!</f>
        <v>#REF!</v>
      </c>
      <c r="E45" s="780" t="e">
        <f>'расчет по услугам'!#REF!</f>
        <v>#REF!</v>
      </c>
      <c r="F45" s="781"/>
      <c r="G45" s="249">
        <v>48</v>
      </c>
      <c r="H45" s="291" t="e">
        <f>#REF!/G45</f>
        <v>#REF!</v>
      </c>
      <c r="I45" s="249">
        <v>1</v>
      </c>
      <c r="J45" s="252">
        <v>60</v>
      </c>
      <c r="K45" s="278">
        <f t="shared" si="15"/>
        <v>0</v>
      </c>
      <c r="L45" s="782"/>
      <c r="M45" s="269"/>
      <c r="Q45" s="28" t="s">
        <v>152</v>
      </c>
      <c r="R45" s="760" t="s">
        <v>142</v>
      </c>
      <c r="S45" s="761"/>
      <c r="T45" s="116">
        <f>310/149*U45</f>
        <v>99.865771812080538</v>
      </c>
      <c r="U45" s="27">
        <v>48</v>
      </c>
      <c r="V45" s="87">
        <f t="shared" si="20"/>
        <v>2.0805369127516777</v>
      </c>
      <c r="W45" s="77">
        <v>1</v>
      </c>
      <c r="X45" s="52">
        <v>60</v>
      </c>
      <c r="Y45" s="83">
        <f t="shared" si="16"/>
        <v>124.83221476510066</v>
      </c>
      <c r="AA45" s="88">
        <v>21</v>
      </c>
      <c r="AB45" s="28" t="s">
        <v>152</v>
      </c>
      <c r="AC45" s="760" t="s">
        <v>142</v>
      </c>
      <c r="AD45" s="761"/>
      <c r="AE45" s="116">
        <f>310/149*AF45</f>
        <v>210.13422818791946</v>
      </c>
      <c r="AF45" s="27">
        <v>101</v>
      </c>
      <c r="AG45" s="114">
        <f t="shared" si="21"/>
        <v>2.0805369127516777</v>
      </c>
      <c r="AH45" s="77">
        <v>1</v>
      </c>
      <c r="AI45" s="52">
        <v>60</v>
      </c>
      <c r="AJ45" s="83">
        <f t="shared" si="17"/>
        <v>124.83221476510066</v>
      </c>
      <c r="AK45" s="778"/>
      <c r="AL45" s="118"/>
      <c r="AM45" s="88">
        <v>21</v>
      </c>
      <c r="AN45" s="28" t="s">
        <v>220</v>
      </c>
      <c r="AO45" s="760" t="s">
        <v>142</v>
      </c>
      <c r="AP45" s="761"/>
      <c r="AQ45" s="116">
        <v>200</v>
      </c>
      <c r="AR45" s="27">
        <f t="shared" ref="AR45:AR47" si="35">AR44</f>
        <v>149</v>
      </c>
      <c r="AS45" s="114">
        <f t="shared" si="33"/>
        <v>1.3422818791946309</v>
      </c>
      <c r="AT45" s="77">
        <v>1</v>
      </c>
      <c r="AU45" s="52">
        <v>14</v>
      </c>
      <c r="AV45" s="83">
        <f t="shared" si="34"/>
        <v>18.791946308724832</v>
      </c>
      <c r="AW45" s="778"/>
      <c r="AX45" s="21"/>
      <c r="AY45" s="5">
        <f t="shared" si="19"/>
        <v>12608.053691275167</v>
      </c>
      <c r="BA45" s="113">
        <f t="shared" si="23"/>
        <v>2800</v>
      </c>
      <c r="BB45" s="5">
        <f t="shared" si="23"/>
        <v>2800</v>
      </c>
    </row>
    <row r="46" spans="1:54" ht="15" customHeight="1" outlineLevel="2">
      <c r="A46" s="746"/>
      <c r="B46" s="747"/>
      <c r="C46" s="235" t="e">
        <f>'расчет по услугам'!#REF!</f>
        <v>#REF!</v>
      </c>
      <c r="D46" s="238" t="e">
        <f>'расчет по услугам'!#REF!</f>
        <v>#REF!</v>
      </c>
      <c r="E46" s="780"/>
      <c r="F46" s="781"/>
      <c r="G46" s="249"/>
      <c r="H46" s="291"/>
      <c r="I46" s="249"/>
      <c r="J46" s="252"/>
      <c r="K46" s="278"/>
      <c r="L46" s="782"/>
      <c r="M46" s="269"/>
      <c r="Q46" s="28"/>
      <c r="R46" s="760"/>
      <c r="S46" s="761"/>
      <c r="T46" s="116"/>
      <c r="U46" s="27"/>
      <c r="V46" s="87"/>
      <c r="W46" s="77"/>
      <c r="X46" s="52"/>
      <c r="Y46" s="83"/>
      <c r="AA46" s="88"/>
      <c r="AB46" s="28"/>
      <c r="AC46" s="760"/>
      <c r="AD46" s="761"/>
      <c r="AE46" s="116"/>
      <c r="AF46" s="27"/>
      <c r="AG46" s="114"/>
      <c r="AH46" s="77"/>
      <c r="AI46" s="52"/>
      <c r="AJ46" s="83"/>
      <c r="AK46" s="778"/>
      <c r="AL46" s="118"/>
      <c r="AM46" s="88">
        <v>22</v>
      </c>
      <c r="AN46" s="28" t="s">
        <v>221</v>
      </c>
      <c r="AO46" s="760" t="s">
        <v>142</v>
      </c>
      <c r="AP46" s="761"/>
      <c r="AQ46" s="116">
        <v>120</v>
      </c>
      <c r="AR46" s="27">
        <f>AR45</f>
        <v>149</v>
      </c>
      <c r="AS46" s="114">
        <f t="shared" si="33"/>
        <v>0.80536912751677847</v>
      </c>
      <c r="AT46" s="77">
        <v>1</v>
      </c>
      <c r="AU46" s="52">
        <v>20</v>
      </c>
      <c r="AV46" s="83">
        <f t="shared" si="34"/>
        <v>16.107382550335569</v>
      </c>
      <c r="AW46" s="778"/>
      <c r="AX46" s="21"/>
      <c r="AY46" s="5">
        <f t="shared" si="19"/>
        <v>0</v>
      </c>
      <c r="BA46" s="113">
        <f t="shared" si="23"/>
        <v>2400</v>
      </c>
      <c r="BB46" s="5">
        <f t="shared" si="23"/>
        <v>2399.9999999999995</v>
      </c>
    </row>
    <row r="47" spans="1:54" ht="15" hidden="1" customHeight="1" outlineLevel="2">
      <c r="A47" s="746"/>
      <c r="B47" s="747"/>
      <c r="C47" s="235" t="e">
        <f>'расчет по услугам'!#REF!</f>
        <v>#REF!</v>
      </c>
      <c r="D47" s="235"/>
      <c r="E47" s="785"/>
      <c r="F47" s="785"/>
      <c r="G47" s="249"/>
      <c r="H47" s="291"/>
      <c r="I47" s="249"/>
      <c r="J47" s="252"/>
      <c r="K47" s="278"/>
      <c r="L47" s="782"/>
      <c r="M47" s="269"/>
      <c r="Q47" s="28"/>
      <c r="R47" s="760"/>
      <c r="S47" s="761"/>
      <c r="T47" s="116"/>
      <c r="U47" s="27"/>
      <c r="V47" s="87"/>
      <c r="W47" s="77"/>
      <c r="X47" s="52"/>
      <c r="Y47" s="83"/>
      <c r="AA47" s="88"/>
      <c r="AB47" s="28"/>
      <c r="AC47" s="760"/>
      <c r="AD47" s="761"/>
      <c r="AE47" s="116"/>
      <c r="AF47" s="27"/>
      <c r="AG47" s="114"/>
      <c r="AH47" s="77"/>
      <c r="AI47" s="52"/>
      <c r="AJ47" s="83"/>
      <c r="AK47" s="778"/>
      <c r="AL47" s="118"/>
      <c r="AM47" s="88">
        <v>23</v>
      </c>
      <c r="AN47" s="28" t="s">
        <v>222</v>
      </c>
      <c r="AO47" s="760" t="s">
        <v>142</v>
      </c>
      <c r="AP47" s="761"/>
      <c r="AQ47" s="116">
        <v>7</v>
      </c>
      <c r="AR47" s="27">
        <f t="shared" si="35"/>
        <v>149</v>
      </c>
      <c r="AS47" s="114">
        <f t="shared" si="33"/>
        <v>4.6979865771812082E-2</v>
      </c>
      <c r="AT47" s="77">
        <v>1</v>
      </c>
      <c r="AU47" s="52">
        <v>5000</v>
      </c>
      <c r="AV47" s="83">
        <f t="shared" si="34"/>
        <v>234.8993288590604</v>
      </c>
      <c r="AW47" s="778"/>
      <c r="AX47" s="21"/>
      <c r="AY47" s="5">
        <f t="shared" si="19"/>
        <v>0</v>
      </c>
      <c r="BA47" s="113">
        <f t="shared" si="23"/>
        <v>35000</v>
      </c>
      <c r="BB47" s="5">
        <f t="shared" si="23"/>
        <v>35000</v>
      </c>
    </row>
    <row r="48" spans="1:54" ht="15" hidden="1" customHeight="1" outlineLevel="2">
      <c r="A48" s="746"/>
      <c r="B48" s="747"/>
      <c r="C48" s="235"/>
      <c r="D48" s="235"/>
      <c r="E48" s="785"/>
      <c r="F48" s="785"/>
      <c r="G48" s="249"/>
      <c r="H48" s="291"/>
      <c r="I48" s="249"/>
      <c r="J48" s="252"/>
      <c r="K48" s="278"/>
      <c r="L48" s="782"/>
      <c r="M48" s="269"/>
      <c r="Q48" s="28"/>
      <c r="R48" s="760"/>
      <c r="S48" s="761"/>
      <c r="T48" s="116"/>
      <c r="U48" s="27"/>
      <c r="V48" s="87"/>
      <c r="W48" s="77"/>
      <c r="X48" s="52"/>
      <c r="Y48" s="83"/>
      <c r="AA48" s="88"/>
      <c r="AB48" s="28"/>
      <c r="AC48" s="760"/>
      <c r="AD48" s="761"/>
      <c r="AE48" s="116"/>
      <c r="AF48" s="27"/>
      <c r="AG48" s="114"/>
      <c r="AH48" s="77"/>
      <c r="AI48" s="52"/>
      <c r="AJ48" s="83"/>
      <c r="AK48" s="778"/>
      <c r="AL48" s="118"/>
      <c r="AM48" s="88">
        <v>24</v>
      </c>
      <c r="AN48" s="28" t="s">
        <v>208</v>
      </c>
      <c r="AO48" s="760" t="s">
        <v>147</v>
      </c>
      <c r="AP48" s="761"/>
      <c r="AQ48" s="116">
        <v>120</v>
      </c>
      <c r="AR48" s="27">
        <v>149</v>
      </c>
      <c r="AS48" s="114">
        <f t="shared" si="33"/>
        <v>0.80536912751677847</v>
      </c>
      <c r="AT48" s="77">
        <v>1</v>
      </c>
      <c r="AU48" s="52">
        <v>50</v>
      </c>
      <c r="AV48" s="83">
        <f t="shared" si="34"/>
        <v>40.268456375838923</v>
      </c>
      <c r="AW48" s="778"/>
      <c r="AX48" s="21"/>
      <c r="AY48" s="5">
        <f t="shared" si="19"/>
        <v>0</v>
      </c>
      <c r="BA48" s="113">
        <f t="shared" si="23"/>
        <v>6000</v>
      </c>
      <c r="BB48" s="5">
        <f t="shared" si="23"/>
        <v>6000</v>
      </c>
    </row>
    <row r="49" spans="1:56" ht="15" hidden="1" customHeight="1" outlineLevel="2">
      <c r="A49" s="746"/>
      <c r="B49" s="747"/>
      <c r="C49" s="235"/>
      <c r="D49" s="235"/>
      <c r="E49" s="785"/>
      <c r="F49" s="785"/>
      <c r="G49" s="249"/>
      <c r="H49" s="291"/>
      <c r="I49" s="249"/>
      <c r="J49" s="252"/>
      <c r="K49" s="278"/>
      <c r="L49" s="782"/>
      <c r="M49" s="269"/>
      <c r="Q49" s="28"/>
      <c r="R49" s="760"/>
      <c r="S49" s="761"/>
      <c r="T49" s="116"/>
      <c r="U49" s="27"/>
      <c r="V49" s="87"/>
      <c r="W49" s="77"/>
      <c r="X49" s="52"/>
      <c r="Y49" s="83"/>
      <c r="AA49" s="88"/>
      <c r="AB49" s="28"/>
      <c r="AC49" s="760"/>
      <c r="AD49" s="761"/>
      <c r="AE49" s="116"/>
      <c r="AF49" s="27"/>
      <c r="AG49" s="114"/>
      <c r="AH49" s="77"/>
      <c r="AI49" s="52"/>
      <c r="AJ49" s="83"/>
      <c r="AK49" s="778"/>
      <c r="AL49" s="118"/>
      <c r="AM49" s="88"/>
      <c r="AN49" s="28"/>
      <c r="AO49" s="760"/>
      <c r="AP49" s="761"/>
      <c r="AQ49" s="116"/>
      <c r="AR49" s="27"/>
      <c r="AS49" s="114"/>
      <c r="AT49" s="77"/>
      <c r="AU49" s="52"/>
      <c r="AV49" s="83"/>
      <c r="AW49" s="778"/>
      <c r="AX49" s="21"/>
      <c r="AY49" s="5">
        <f t="shared" si="19"/>
        <v>0</v>
      </c>
      <c r="BA49" s="113"/>
      <c r="BB49" s="5">
        <f t="shared" si="23"/>
        <v>0</v>
      </c>
    </row>
    <row r="50" spans="1:56" ht="15.75" hidden="1" customHeight="1" outlineLevel="2" thickBot="1">
      <c r="A50" s="746"/>
      <c r="B50" s="747"/>
      <c r="C50" s="235"/>
      <c r="D50" s="235"/>
      <c r="E50" s="785"/>
      <c r="F50" s="785"/>
      <c r="G50" s="249"/>
      <c r="H50" s="291"/>
      <c r="I50" s="249"/>
      <c r="J50" s="252"/>
      <c r="K50" s="278"/>
      <c r="L50" s="782"/>
      <c r="M50" s="269"/>
      <c r="Q50" s="28"/>
      <c r="R50" s="760"/>
      <c r="S50" s="761"/>
      <c r="T50" s="116"/>
      <c r="U50" s="27"/>
      <c r="V50" s="87"/>
      <c r="W50" s="77"/>
      <c r="X50" s="52"/>
      <c r="Y50" s="83"/>
      <c r="AA50" s="88"/>
      <c r="AB50" s="28"/>
      <c r="AC50" s="760"/>
      <c r="AD50" s="761"/>
      <c r="AE50" s="116"/>
      <c r="AF50" s="27"/>
      <c r="AG50" s="114"/>
      <c r="AH50" s="77"/>
      <c r="AI50" s="52"/>
      <c r="AJ50" s="83"/>
      <c r="AK50" s="778"/>
      <c r="AL50" s="118"/>
      <c r="AM50" s="88"/>
      <c r="AN50" s="28"/>
      <c r="AO50" s="760"/>
      <c r="AP50" s="761"/>
      <c r="AQ50" s="116"/>
      <c r="AR50" s="27"/>
      <c r="AS50" s="114"/>
      <c r="AT50" s="77"/>
      <c r="AU50" s="52"/>
      <c r="AV50" s="83"/>
      <c r="AW50" s="778"/>
      <c r="AX50" s="21"/>
      <c r="AY50" s="5">
        <f t="shared" si="19"/>
        <v>0</v>
      </c>
      <c r="BA50" s="113">
        <f t="shared" si="23"/>
        <v>0</v>
      </c>
      <c r="BB50" s="5">
        <f t="shared" si="23"/>
        <v>0</v>
      </c>
    </row>
    <row r="51" spans="1:56" ht="15" hidden="1" customHeight="1" outlineLevel="2" thickBot="1">
      <c r="A51" s="746"/>
      <c r="B51" s="747"/>
      <c r="C51" s="786"/>
      <c r="D51" s="786"/>
      <c r="E51" s="786"/>
      <c r="F51" s="786"/>
      <c r="G51" s="786"/>
      <c r="H51" s="786"/>
      <c r="I51" s="786"/>
      <c r="J51" s="786"/>
      <c r="K51" s="247">
        <f>SUM(K25:K50)</f>
        <v>0</v>
      </c>
      <c r="L51" s="782"/>
      <c r="M51" s="270"/>
      <c r="Q51" s="68"/>
      <c r="R51" s="68"/>
      <c r="S51" s="68"/>
      <c r="T51" s="68"/>
      <c r="U51" s="68"/>
      <c r="V51" s="125"/>
      <c r="W51" s="68"/>
      <c r="X51" s="68"/>
      <c r="Y51" s="92">
        <f>SUM(Y25:Y50)</f>
        <v>872.49664429530196</v>
      </c>
      <c r="AA51" s="787" t="s">
        <v>43</v>
      </c>
      <c r="AB51" s="788"/>
      <c r="AC51" s="788"/>
      <c r="AD51" s="788"/>
      <c r="AE51" s="788"/>
      <c r="AF51" s="788"/>
      <c r="AG51" s="788"/>
      <c r="AH51" s="788"/>
      <c r="AI51" s="789"/>
      <c r="AJ51" s="92">
        <f>SUM(AJ25:AJ50)</f>
        <v>872.49664429530196</v>
      </c>
      <c r="AK51" s="779"/>
      <c r="AL51" s="124"/>
      <c r="AM51" s="787" t="s">
        <v>43</v>
      </c>
      <c r="AN51" s="788"/>
      <c r="AO51" s="788"/>
      <c r="AP51" s="788"/>
      <c r="AQ51" s="788"/>
      <c r="AR51" s="788"/>
      <c r="AS51" s="788"/>
      <c r="AT51" s="788"/>
      <c r="AU51" s="789"/>
      <c r="AV51" s="92">
        <f>SUM(AV25:AV50)</f>
        <v>950.63758389261739</v>
      </c>
      <c r="AW51" s="779"/>
      <c r="AX51" s="21"/>
      <c r="AY51" s="126">
        <f>SUM(AY25:AY50)</f>
        <v>88122.161073825511</v>
      </c>
      <c r="AZ51" s="5">
        <v>130002</v>
      </c>
      <c r="BA51" s="127">
        <f>SUM(BA25:BA50)</f>
        <v>141645</v>
      </c>
      <c r="BB51" s="5">
        <f>SUM(BB25:BB50)</f>
        <v>141645</v>
      </c>
      <c r="BC51" s="77"/>
      <c r="BD51" s="51"/>
    </row>
    <row r="52" spans="1:56" s="39" customFormat="1" ht="15.75" hidden="1" customHeight="1" outlineLevel="2" thickBot="1">
      <c r="A52" s="746"/>
      <c r="B52" s="747"/>
      <c r="C52" s="293"/>
      <c r="D52" s="293"/>
      <c r="E52" s="293"/>
      <c r="F52" s="293"/>
      <c r="G52" s="293"/>
      <c r="H52" s="293"/>
      <c r="I52" s="293"/>
      <c r="J52" s="293"/>
      <c r="K52" s="283"/>
      <c r="L52" s="238"/>
      <c r="M52" s="271"/>
      <c r="P52" s="68"/>
      <c r="Q52" s="131"/>
      <c r="R52" s="131"/>
      <c r="S52" s="131"/>
      <c r="T52" s="131"/>
      <c r="U52" s="131"/>
      <c r="V52" s="132"/>
      <c r="W52" s="131"/>
      <c r="X52" s="133"/>
      <c r="Y52" s="128"/>
      <c r="AA52" s="134"/>
      <c r="AB52" s="131"/>
      <c r="AC52" s="131"/>
      <c r="AD52" s="131"/>
      <c r="AE52" s="131"/>
      <c r="AF52" s="131"/>
      <c r="AG52" s="131"/>
      <c r="AH52" s="131"/>
      <c r="AI52" s="133"/>
      <c r="AJ52" s="128"/>
      <c r="AK52" s="129"/>
      <c r="AL52" s="130"/>
      <c r="AM52" s="134"/>
      <c r="AN52" s="131"/>
      <c r="AO52" s="131"/>
      <c r="AP52" s="131"/>
      <c r="AQ52" s="131"/>
      <c r="AR52" s="131"/>
      <c r="AS52" s="131"/>
      <c r="AT52" s="131"/>
      <c r="AU52" s="133"/>
      <c r="AV52" s="128"/>
      <c r="AW52" s="129"/>
      <c r="AX52" s="135"/>
      <c r="AZ52" s="39">
        <f>AY51-AZ51</f>
        <v>-41879.838926174489</v>
      </c>
      <c r="BA52" s="136"/>
      <c r="BC52" s="84"/>
    </row>
    <row r="53" spans="1:56" ht="45" customHeight="1" collapsed="1">
      <c r="A53" s="746"/>
      <c r="B53" s="747"/>
      <c r="C53" s="749" t="s">
        <v>8</v>
      </c>
      <c r="D53" s="749"/>
      <c r="E53" s="749"/>
      <c r="F53" s="749"/>
      <c r="G53" s="749"/>
      <c r="H53" s="749"/>
      <c r="I53" s="749"/>
      <c r="J53" s="749"/>
      <c r="K53" s="749"/>
      <c r="L53" s="749"/>
      <c r="M53" s="82"/>
      <c r="Q53" s="68"/>
      <c r="R53" s="68"/>
      <c r="S53" s="68"/>
      <c r="T53" s="68"/>
      <c r="U53" s="68"/>
      <c r="V53" s="125"/>
      <c r="W53" s="68"/>
      <c r="X53" s="68"/>
      <c r="Y53" s="68"/>
      <c r="AA53" s="750" t="s">
        <v>8</v>
      </c>
      <c r="AB53" s="751"/>
      <c r="AC53" s="751"/>
      <c r="AD53" s="751"/>
      <c r="AE53" s="751"/>
      <c r="AF53" s="751"/>
      <c r="AG53" s="751"/>
      <c r="AH53" s="751"/>
      <c r="AI53" s="751"/>
      <c r="AJ53" s="751"/>
      <c r="AK53" s="752"/>
      <c r="AL53" s="82"/>
      <c r="AM53" s="750" t="s">
        <v>8</v>
      </c>
      <c r="AN53" s="751"/>
      <c r="AO53" s="751"/>
      <c r="AP53" s="751"/>
      <c r="AQ53" s="751"/>
      <c r="AR53" s="751"/>
      <c r="AS53" s="751"/>
      <c r="AT53" s="751"/>
      <c r="AU53" s="751"/>
      <c r="AV53" s="751"/>
      <c r="AW53" s="752"/>
      <c r="AX53" s="19"/>
    </row>
    <row r="54" spans="1:56" ht="26.25" customHeight="1" outlineLevel="2">
      <c r="A54" s="746"/>
      <c r="B54" s="747"/>
      <c r="C54" s="294" t="e">
        <f>'расчет по услугам'!#REF!</f>
        <v>#REF!</v>
      </c>
      <c r="D54" s="238" t="s">
        <v>223</v>
      </c>
      <c r="E54" s="790" t="e">
        <f>'расчет по услугам'!#REF!</f>
        <v>#REF!</v>
      </c>
      <c r="F54" s="790"/>
      <c r="G54" s="249">
        <f>G14</f>
        <v>48</v>
      </c>
      <c r="H54" s="295" t="e">
        <f>#REF!/G54</f>
        <v>#REF!</v>
      </c>
      <c r="I54" s="249">
        <v>1</v>
      </c>
      <c r="J54" s="252">
        <v>3375</v>
      </c>
      <c r="K54" s="280">
        <f t="shared" ref="K54:K66" si="36">IFERROR(H54*J54/I54,0)</f>
        <v>0</v>
      </c>
      <c r="L54" s="296"/>
      <c r="M54" s="272"/>
      <c r="Q54" s="139" t="s">
        <v>101</v>
      </c>
      <c r="R54" s="791" t="s">
        <v>223</v>
      </c>
      <c r="S54" s="792"/>
      <c r="T54" s="140">
        <f>16/149*U54</f>
        <v>5.1543624161073822</v>
      </c>
      <c r="U54" s="27">
        <f>U14</f>
        <v>48</v>
      </c>
      <c r="V54" s="87">
        <f t="shared" ref="V54:V66" si="37">T54/U54</f>
        <v>0.10738255033557047</v>
      </c>
      <c r="W54" s="77">
        <v>1</v>
      </c>
      <c r="X54" s="52">
        <v>3375</v>
      </c>
      <c r="Y54" s="89">
        <f t="shared" ref="Y54:Y66" si="38">IFERROR(V54*X54/W54,0)</f>
        <v>362.41610738255031</v>
      </c>
      <c r="AA54" s="88">
        <v>1</v>
      </c>
      <c r="AB54" s="139" t="s">
        <v>101</v>
      </c>
      <c r="AC54" s="791" t="s">
        <v>223</v>
      </c>
      <c r="AD54" s="792"/>
      <c r="AE54" s="140">
        <f>16/149*AF54</f>
        <v>10.845637583892618</v>
      </c>
      <c r="AF54" s="27">
        <f>AF14</f>
        <v>101</v>
      </c>
      <c r="AG54" s="137">
        <f t="shared" ref="AG54:AG66" si="39">AE54/AF54</f>
        <v>0.10738255033557047</v>
      </c>
      <c r="AH54" s="77">
        <v>1</v>
      </c>
      <c r="AI54" s="52">
        <v>3375</v>
      </c>
      <c r="AJ54" s="89">
        <f t="shared" ref="AJ54:AJ66" si="40">IFERROR(AG54*AI54/AH54,0)</f>
        <v>362.41610738255031</v>
      </c>
      <c r="AK54" s="25"/>
      <c r="AL54" s="138"/>
      <c r="AM54" s="88"/>
      <c r="AN54" s="139"/>
      <c r="AO54" s="791"/>
      <c r="AP54" s="792"/>
      <c r="AQ54" s="140"/>
      <c r="AR54" s="27"/>
      <c r="AS54" s="137"/>
      <c r="AT54" s="77"/>
      <c r="AU54" s="52"/>
      <c r="AV54" s="89"/>
      <c r="AW54" s="25"/>
      <c r="AX54" s="22"/>
      <c r="AY54" s="5">
        <f>AJ54*AF54</f>
        <v>36604.026845637578</v>
      </c>
    </row>
    <row r="55" spans="1:56" ht="30" hidden="1" customHeight="1" outlineLevel="2">
      <c r="A55" s="746"/>
      <c r="B55" s="747"/>
      <c r="C55" s="297"/>
      <c r="D55" s="238"/>
      <c r="E55" s="790"/>
      <c r="F55" s="790"/>
      <c r="G55" s="249">
        <f>G15</f>
        <v>48</v>
      </c>
      <c r="H55" s="295" t="e">
        <f>#REF!/G55</f>
        <v>#REF!</v>
      </c>
      <c r="I55" s="249">
        <v>1</v>
      </c>
      <c r="J55" s="252">
        <v>9385.7139999999999</v>
      </c>
      <c r="K55" s="280">
        <f t="shared" si="36"/>
        <v>0</v>
      </c>
      <c r="L55" s="296"/>
      <c r="M55" s="272"/>
      <c r="Q55" s="141" t="s">
        <v>103</v>
      </c>
      <c r="R55" s="791" t="s">
        <v>223</v>
      </c>
      <c r="S55" s="792"/>
      <c r="T55" s="140">
        <f>7/149*U55</f>
        <v>2.2550335570469802</v>
      </c>
      <c r="U55" s="27">
        <f>U15</f>
        <v>48</v>
      </c>
      <c r="V55" s="87">
        <f t="shared" si="37"/>
        <v>4.6979865771812089E-2</v>
      </c>
      <c r="W55" s="77">
        <v>1</v>
      </c>
      <c r="X55" s="52">
        <v>9385.7139999999999</v>
      </c>
      <c r="Y55" s="89">
        <f t="shared" si="38"/>
        <v>440.93958389261752</v>
      </c>
      <c r="AA55" s="88">
        <v>2</v>
      </c>
      <c r="AB55" s="141" t="s">
        <v>103</v>
      </c>
      <c r="AC55" s="791" t="s">
        <v>223</v>
      </c>
      <c r="AD55" s="792"/>
      <c r="AE55" s="140">
        <f>7/149*AF55</f>
        <v>4.7449664429530207</v>
      </c>
      <c r="AF55" s="27">
        <f>AF15</f>
        <v>101</v>
      </c>
      <c r="AG55" s="137">
        <f t="shared" si="39"/>
        <v>4.6979865771812089E-2</v>
      </c>
      <c r="AH55" s="77">
        <v>1</v>
      </c>
      <c r="AI55" s="52">
        <v>9385.7139999999999</v>
      </c>
      <c r="AJ55" s="89">
        <f t="shared" si="40"/>
        <v>440.93958389261752</v>
      </c>
      <c r="AK55" s="25"/>
      <c r="AL55" s="138"/>
      <c r="AM55" s="88"/>
      <c r="AN55" s="141"/>
      <c r="AO55" s="791"/>
      <c r="AP55" s="792"/>
      <c r="AQ55" s="140"/>
      <c r="AR55" s="27"/>
      <c r="AS55" s="137"/>
      <c r="AT55" s="77"/>
      <c r="AU55" s="52"/>
      <c r="AV55" s="89"/>
      <c r="AW55" s="25"/>
      <c r="AX55" s="22"/>
      <c r="AY55" s="38">
        <f>AJ55*AF55</f>
        <v>44534.897973154366</v>
      </c>
    </row>
    <row r="56" spans="1:56" ht="30" hidden="1" customHeight="1" outlineLevel="2">
      <c r="A56" s="746"/>
      <c r="B56" s="747"/>
      <c r="C56" s="297"/>
      <c r="D56" s="224"/>
      <c r="E56" s="790"/>
      <c r="F56" s="790"/>
      <c r="G56" s="249">
        <f t="shared" ref="G56" si="41">G17</f>
        <v>48</v>
      </c>
      <c r="H56" s="295" t="e">
        <f>#REF!/G56</f>
        <v>#REF!</v>
      </c>
      <c r="I56" s="249">
        <v>1</v>
      </c>
      <c r="J56" s="252">
        <v>5000</v>
      </c>
      <c r="K56" s="280">
        <f t="shared" si="36"/>
        <v>0</v>
      </c>
      <c r="L56" s="296"/>
      <c r="M56" s="272"/>
      <c r="Q56" s="139" t="s">
        <v>224</v>
      </c>
      <c r="R56" s="791" t="s">
        <v>53</v>
      </c>
      <c r="S56" s="792"/>
      <c r="T56" s="140">
        <f>1/149*U56</f>
        <v>0.32214765100671139</v>
      </c>
      <c r="U56" s="27">
        <f t="shared" ref="U56" si="42">U17</f>
        <v>48</v>
      </c>
      <c r="V56" s="87">
        <f t="shared" si="37"/>
        <v>6.7114093959731542E-3</v>
      </c>
      <c r="W56" s="77">
        <v>1</v>
      </c>
      <c r="X56" s="52">
        <v>5000</v>
      </c>
      <c r="Y56" s="89">
        <f t="shared" si="38"/>
        <v>33.557046979865774</v>
      </c>
      <c r="AA56" s="88">
        <v>3</v>
      </c>
      <c r="AB56" s="139" t="s">
        <v>224</v>
      </c>
      <c r="AC56" s="791" t="s">
        <v>53</v>
      </c>
      <c r="AD56" s="792"/>
      <c r="AE56" s="140">
        <f>1/149*AF56</f>
        <v>0.67785234899328861</v>
      </c>
      <c r="AF56" s="27">
        <f t="shared" ref="AF56" si="43">AF17</f>
        <v>101</v>
      </c>
      <c r="AG56" s="137">
        <f t="shared" si="39"/>
        <v>6.7114093959731542E-3</v>
      </c>
      <c r="AH56" s="77">
        <v>1</v>
      </c>
      <c r="AI56" s="52">
        <v>5000</v>
      </c>
      <c r="AJ56" s="89">
        <f t="shared" si="40"/>
        <v>33.557046979865774</v>
      </c>
      <c r="AK56" s="25"/>
      <c r="AL56" s="138"/>
      <c r="AM56" s="88"/>
      <c r="AN56" s="139"/>
      <c r="AO56" s="791"/>
      <c r="AP56" s="792"/>
      <c r="AQ56" s="140"/>
      <c r="AR56" s="27"/>
      <c r="AS56" s="137"/>
      <c r="AT56" s="77"/>
      <c r="AU56" s="52"/>
      <c r="AV56" s="89"/>
      <c r="AW56" s="25"/>
      <c r="AX56" s="22"/>
      <c r="AY56" s="5">
        <f t="shared" ref="AY56:AY66" si="44">AJ56*AF56</f>
        <v>3389.2617449664431</v>
      </c>
    </row>
    <row r="57" spans="1:56" ht="15" hidden="1" customHeight="1" outlineLevel="2">
      <c r="A57" s="746"/>
      <c r="B57" s="747"/>
      <c r="C57" s="298"/>
      <c r="D57" s="298"/>
      <c r="E57" s="298"/>
      <c r="F57" s="299"/>
      <c r="G57" s="249">
        <f>G14</f>
        <v>48</v>
      </c>
      <c r="H57" s="299" t="e">
        <f>#REF!/G57</f>
        <v>#REF!</v>
      </c>
      <c r="I57" s="249">
        <v>1</v>
      </c>
      <c r="J57" s="252">
        <v>7000</v>
      </c>
      <c r="K57" s="280">
        <f t="shared" si="36"/>
        <v>0</v>
      </c>
      <c r="L57" s="296"/>
      <c r="M57" s="272"/>
      <c r="Q57" s="142"/>
      <c r="R57" s="29"/>
      <c r="S57" s="26"/>
      <c r="T57" s="140">
        <v>0.4</v>
      </c>
      <c r="U57" s="27">
        <f>U14</f>
        <v>48</v>
      </c>
      <c r="V57" s="87">
        <f t="shared" si="37"/>
        <v>8.3333333333333332E-3</v>
      </c>
      <c r="W57" s="77">
        <v>1</v>
      </c>
      <c r="X57" s="52">
        <v>7000</v>
      </c>
      <c r="Y57" s="89">
        <f t="shared" si="38"/>
        <v>58.333333333333336</v>
      </c>
      <c r="AA57" s="88">
        <v>8</v>
      </c>
      <c r="AB57" s="142"/>
      <c r="AC57" s="29"/>
      <c r="AD57" s="26"/>
      <c r="AE57" s="140">
        <v>0.4</v>
      </c>
      <c r="AF57" s="27">
        <f>AF14</f>
        <v>101</v>
      </c>
      <c r="AG57" s="26">
        <f t="shared" si="39"/>
        <v>3.9603960396039604E-3</v>
      </c>
      <c r="AH57" s="77">
        <v>1</v>
      </c>
      <c r="AI57" s="52">
        <v>7000</v>
      </c>
      <c r="AJ57" s="89">
        <f t="shared" si="40"/>
        <v>27.722772277227723</v>
      </c>
      <c r="AK57" s="25"/>
      <c r="AL57" s="138"/>
      <c r="AM57" s="88">
        <v>8</v>
      </c>
      <c r="AN57" s="142"/>
      <c r="AO57" s="29"/>
      <c r="AP57" s="26"/>
      <c r="AQ57" s="140">
        <v>0.4</v>
      </c>
      <c r="AR57" s="27">
        <f>AR14</f>
        <v>0</v>
      </c>
      <c r="AS57" s="26" t="e">
        <f t="shared" ref="AS57:AS66" si="45">AQ57/AR57</f>
        <v>#DIV/0!</v>
      </c>
      <c r="AT57" s="77">
        <v>1</v>
      </c>
      <c r="AU57" s="52">
        <v>7000</v>
      </c>
      <c r="AV57" s="89">
        <f t="shared" ref="AV57:AV66" si="46">IFERROR(AS57*AU57/AT57,0)</f>
        <v>0</v>
      </c>
      <c r="AW57" s="25"/>
      <c r="AX57" s="22"/>
      <c r="AY57" s="5">
        <f t="shared" si="44"/>
        <v>2800</v>
      </c>
    </row>
    <row r="58" spans="1:56" ht="15" hidden="1" customHeight="1" outlineLevel="2">
      <c r="A58" s="746"/>
      <c r="B58" s="747"/>
      <c r="C58" s="298"/>
      <c r="D58" s="298"/>
      <c r="E58" s="298"/>
      <c r="F58" s="299"/>
      <c r="G58" s="249">
        <f>G14</f>
        <v>48</v>
      </c>
      <c r="H58" s="299" t="e">
        <f>#REF!/G58</f>
        <v>#REF!</v>
      </c>
      <c r="I58" s="249">
        <v>1</v>
      </c>
      <c r="J58" s="252">
        <v>7000</v>
      </c>
      <c r="K58" s="280">
        <f t="shared" si="36"/>
        <v>0</v>
      </c>
      <c r="L58" s="800"/>
      <c r="M58" s="268"/>
      <c r="Q58" s="142"/>
      <c r="R58" s="29"/>
      <c r="S58" s="26"/>
      <c r="T58" s="140">
        <v>0.4</v>
      </c>
      <c r="U58" s="27">
        <f>U14</f>
        <v>48</v>
      </c>
      <c r="V58" s="87">
        <f t="shared" si="37"/>
        <v>8.3333333333333332E-3</v>
      </c>
      <c r="W58" s="77">
        <v>1</v>
      </c>
      <c r="X58" s="52">
        <v>7000</v>
      </c>
      <c r="Y58" s="89">
        <f t="shared" si="38"/>
        <v>58.333333333333336</v>
      </c>
      <c r="AA58" s="88">
        <v>9</v>
      </c>
      <c r="AB58" s="142"/>
      <c r="AC58" s="29"/>
      <c r="AD58" s="26"/>
      <c r="AE58" s="140">
        <v>0.4</v>
      </c>
      <c r="AF58" s="27">
        <f>AF14</f>
        <v>101</v>
      </c>
      <c r="AG58" s="26">
        <f t="shared" si="39"/>
        <v>3.9603960396039604E-3</v>
      </c>
      <c r="AH58" s="77">
        <v>1</v>
      </c>
      <c r="AI58" s="52">
        <v>7000</v>
      </c>
      <c r="AJ58" s="89">
        <f t="shared" si="40"/>
        <v>27.722772277227723</v>
      </c>
      <c r="AK58" s="793"/>
      <c r="AL58" s="115"/>
      <c r="AM58" s="88">
        <v>9</v>
      </c>
      <c r="AN58" s="142"/>
      <c r="AO58" s="29"/>
      <c r="AP58" s="26"/>
      <c r="AQ58" s="140">
        <v>0.4</v>
      </c>
      <c r="AR58" s="27">
        <f>AR14</f>
        <v>0</v>
      </c>
      <c r="AS58" s="26" t="e">
        <f t="shared" si="45"/>
        <v>#DIV/0!</v>
      </c>
      <c r="AT58" s="77">
        <v>1</v>
      </c>
      <c r="AU58" s="52">
        <v>7000</v>
      </c>
      <c r="AV58" s="89">
        <f t="shared" si="46"/>
        <v>0</v>
      </c>
      <c r="AW58" s="793" t="s">
        <v>62</v>
      </c>
      <c r="AX58" s="22"/>
      <c r="AY58" s="5">
        <f t="shared" si="44"/>
        <v>2800</v>
      </c>
    </row>
    <row r="59" spans="1:56" ht="15" hidden="1" customHeight="1" outlineLevel="2">
      <c r="A59" s="746"/>
      <c r="B59" s="747"/>
      <c r="C59" s="298"/>
      <c r="D59" s="298"/>
      <c r="E59" s="298"/>
      <c r="F59" s="299"/>
      <c r="G59" s="249">
        <f>G15</f>
        <v>48</v>
      </c>
      <c r="H59" s="299" t="e">
        <f>#REF!/G59</f>
        <v>#REF!</v>
      </c>
      <c r="I59" s="249">
        <v>1</v>
      </c>
      <c r="J59" s="252">
        <v>7000</v>
      </c>
      <c r="K59" s="280">
        <f t="shared" si="36"/>
        <v>0</v>
      </c>
      <c r="L59" s="800"/>
      <c r="M59" s="269"/>
      <c r="Q59" s="142"/>
      <c r="R59" s="29"/>
      <c r="S59" s="26"/>
      <c r="T59" s="140">
        <v>0.4</v>
      </c>
      <c r="U59" s="27">
        <f>U15</f>
        <v>48</v>
      </c>
      <c r="V59" s="87">
        <f t="shared" si="37"/>
        <v>8.3333333333333332E-3</v>
      </c>
      <c r="W59" s="77">
        <v>1</v>
      </c>
      <c r="X59" s="52">
        <v>7000</v>
      </c>
      <c r="Y59" s="89">
        <f t="shared" si="38"/>
        <v>58.333333333333336</v>
      </c>
      <c r="AA59" s="88">
        <v>10</v>
      </c>
      <c r="AB59" s="142"/>
      <c r="AC59" s="29"/>
      <c r="AD59" s="26"/>
      <c r="AE59" s="140">
        <v>0.4</v>
      </c>
      <c r="AF59" s="27">
        <f>AF15</f>
        <v>101</v>
      </c>
      <c r="AG59" s="26">
        <f t="shared" si="39"/>
        <v>3.9603960396039604E-3</v>
      </c>
      <c r="AH59" s="77">
        <v>1</v>
      </c>
      <c r="AI59" s="52">
        <v>7000</v>
      </c>
      <c r="AJ59" s="89">
        <f t="shared" si="40"/>
        <v>27.722772277227723</v>
      </c>
      <c r="AK59" s="794"/>
      <c r="AL59" s="118"/>
      <c r="AM59" s="88">
        <v>10</v>
      </c>
      <c r="AN59" s="142"/>
      <c r="AO59" s="29"/>
      <c r="AP59" s="26"/>
      <c r="AQ59" s="140">
        <v>0.4</v>
      </c>
      <c r="AR59" s="27">
        <f>AR15</f>
        <v>0</v>
      </c>
      <c r="AS59" s="26" t="e">
        <f t="shared" si="45"/>
        <v>#DIV/0!</v>
      </c>
      <c r="AT59" s="77">
        <v>1</v>
      </c>
      <c r="AU59" s="52">
        <v>7000</v>
      </c>
      <c r="AV59" s="89">
        <f t="shared" si="46"/>
        <v>0</v>
      </c>
      <c r="AW59" s="794"/>
      <c r="AX59" s="22"/>
      <c r="AY59" s="5">
        <f t="shared" si="44"/>
        <v>2800</v>
      </c>
    </row>
    <row r="60" spans="1:56" ht="15" hidden="1" customHeight="1" outlineLevel="2">
      <c r="A60" s="746"/>
      <c r="B60" s="747"/>
      <c r="C60" s="298"/>
      <c r="D60" s="298"/>
      <c r="E60" s="298"/>
      <c r="F60" s="299"/>
      <c r="G60" s="249">
        <f>G17</f>
        <v>48</v>
      </c>
      <c r="H60" s="299" t="e">
        <f>#REF!/G60</f>
        <v>#REF!</v>
      </c>
      <c r="I60" s="249">
        <v>1</v>
      </c>
      <c r="J60" s="252">
        <v>7000</v>
      </c>
      <c r="K60" s="280">
        <f t="shared" si="36"/>
        <v>0</v>
      </c>
      <c r="L60" s="800"/>
      <c r="M60" s="269"/>
      <c r="Q60" s="142"/>
      <c r="R60" s="29"/>
      <c r="S60" s="26"/>
      <c r="T60" s="140">
        <v>0.4</v>
      </c>
      <c r="U60" s="27">
        <f>U17</f>
        <v>48</v>
      </c>
      <c r="V60" s="87">
        <f t="shared" si="37"/>
        <v>8.3333333333333332E-3</v>
      </c>
      <c r="W60" s="77">
        <v>1</v>
      </c>
      <c r="X60" s="52">
        <v>7000</v>
      </c>
      <c r="Y60" s="89">
        <f t="shared" si="38"/>
        <v>58.333333333333336</v>
      </c>
      <c r="AA60" s="88">
        <v>11</v>
      </c>
      <c r="AB60" s="142"/>
      <c r="AC60" s="29"/>
      <c r="AD60" s="26"/>
      <c r="AE60" s="140">
        <v>0.4</v>
      </c>
      <c r="AF60" s="27">
        <f>AF17</f>
        <v>101</v>
      </c>
      <c r="AG60" s="26">
        <f t="shared" si="39"/>
        <v>3.9603960396039604E-3</v>
      </c>
      <c r="AH60" s="77">
        <v>1</v>
      </c>
      <c r="AI60" s="52">
        <v>7000</v>
      </c>
      <c r="AJ60" s="89">
        <f t="shared" si="40"/>
        <v>27.722772277227723</v>
      </c>
      <c r="AK60" s="794"/>
      <c r="AL60" s="118"/>
      <c r="AM60" s="88">
        <v>11</v>
      </c>
      <c r="AN60" s="142"/>
      <c r="AO60" s="29"/>
      <c r="AP60" s="26"/>
      <c r="AQ60" s="140">
        <v>0.4</v>
      </c>
      <c r="AR60" s="27">
        <f>AR17</f>
        <v>0</v>
      </c>
      <c r="AS60" s="26" t="e">
        <f t="shared" si="45"/>
        <v>#DIV/0!</v>
      </c>
      <c r="AT60" s="77">
        <v>1</v>
      </c>
      <c r="AU60" s="52">
        <v>7000</v>
      </c>
      <c r="AV60" s="89">
        <f t="shared" si="46"/>
        <v>0</v>
      </c>
      <c r="AW60" s="794"/>
      <c r="AX60" s="22"/>
      <c r="AY60" s="5">
        <f t="shared" si="44"/>
        <v>2800</v>
      </c>
    </row>
    <row r="61" spans="1:56" ht="15" hidden="1" customHeight="1" outlineLevel="2">
      <c r="A61" s="746"/>
      <c r="B61" s="747"/>
      <c r="C61" s="298"/>
      <c r="D61" s="298"/>
      <c r="E61" s="298"/>
      <c r="F61" s="299"/>
      <c r="G61" s="249">
        <f>G18</f>
        <v>48</v>
      </c>
      <c r="H61" s="299" t="e">
        <f>#REF!/G61</f>
        <v>#REF!</v>
      </c>
      <c r="I61" s="249">
        <v>1</v>
      </c>
      <c r="J61" s="252">
        <v>7000</v>
      </c>
      <c r="K61" s="280">
        <f t="shared" si="36"/>
        <v>0</v>
      </c>
      <c r="L61" s="800"/>
      <c r="M61" s="269"/>
      <c r="Q61" s="142"/>
      <c r="R61" s="29"/>
      <c r="S61" s="26"/>
      <c r="T61" s="140">
        <v>0.4</v>
      </c>
      <c r="U61" s="27">
        <f>U18</f>
        <v>48</v>
      </c>
      <c r="V61" s="87">
        <f t="shared" si="37"/>
        <v>8.3333333333333332E-3</v>
      </c>
      <c r="W61" s="77">
        <v>1</v>
      </c>
      <c r="X61" s="52">
        <v>7000</v>
      </c>
      <c r="Y61" s="89">
        <f t="shared" si="38"/>
        <v>58.333333333333336</v>
      </c>
      <c r="AA61" s="88">
        <v>11</v>
      </c>
      <c r="AB61" s="142"/>
      <c r="AC61" s="29"/>
      <c r="AD61" s="26"/>
      <c r="AE61" s="140">
        <v>0.4</v>
      </c>
      <c r="AF61" s="27">
        <f>AF18</f>
        <v>101</v>
      </c>
      <c r="AG61" s="26">
        <f t="shared" si="39"/>
        <v>3.9603960396039604E-3</v>
      </c>
      <c r="AH61" s="77">
        <v>1</v>
      </c>
      <c r="AI61" s="52">
        <v>7000</v>
      </c>
      <c r="AJ61" s="89">
        <f t="shared" si="40"/>
        <v>27.722772277227723</v>
      </c>
      <c r="AK61" s="794"/>
      <c r="AL61" s="118"/>
      <c r="AM61" s="88">
        <v>11</v>
      </c>
      <c r="AN61" s="142"/>
      <c r="AO61" s="29"/>
      <c r="AP61" s="26"/>
      <c r="AQ61" s="140">
        <v>0.4</v>
      </c>
      <c r="AR61" s="27">
        <f>AR18</f>
        <v>0</v>
      </c>
      <c r="AS61" s="26" t="e">
        <f t="shared" si="45"/>
        <v>#DIV/0!</v>
      </c>
      <c r="AT61" s="77">
        <v>1</v>
      </c>
      <c r="AU61" s="52">
        <v>7000</v>
      </c>
      <c r="AV61" s="89">
        <f t="shared" si="46"/>
        <v>0</v>
      </c>
      <c r="AW61" s="794"/>
      <c r="AX61" s="22"/>
      <c r="AY61" s="5">
        <f t="shared" si="44"/>
        <v>2800</v>
      </c>
    </row>
    <row r="62" spans="1:56" ht="15" hidden="1" customHeight="1" outlineLevel="2">
      <c r="A62" s="746"/>
      <c r="B62" s="747"/>
      <c r="C62" s="299" t="s">
        <v>24</v>
      </c>
      <c r="D62" s="299"/>
      <c r="E62" s="299"/>
      <c r="F62" s="299"/>
      <c r="G62" s="249" t="e">
        <f>#REF!</f>
        <v>#REF!</v>
      </c>
      <c r="H62" s="299" t="e">
        <f>#REF!/G62</f>
        <v>#REF!</v>
      </c>
      <c r="I62" s="249">
        <v>1</v>
      </c>
      <c r="J62" s="252">
        <v>7000</v>
      </c>
      <c r="K62" s="280">
        <f t="shared" si="36"/>
        <v>0</v>
      </c>
      <c r="L62" s="800"/>
      <c r="M62" s="269"/>
      <c r="Q62" s="26" t="s">
        <v>24</v>
      </c>
      <c r="R62" s="26"/>
      <c r="S62" s="26"/>
      <c r="T62" s="140">
        <v>0.4</v>
      </c>
      <c r="U62" s="27" t="e">
        <f>#REF!</f>
        <v>#REF!</v>
      </c>
      <c r="V62" s="87" t="e">
        <f t="shared" si="37"/>
        <v>#REF!</v>
      </c>
      <c r="W62" s="77">
        <v>1</v>
      </c>
      <c r="X62" s="52">
        <v>7000</v>
      </c>
      <c r="Y62" s="89">
        <f t="shared" si="38"/>
        <v>0</v>
      </c>
      <c r="AA62" s="88">
        <v>12</v>
      </c>
      <c r="AB62" s="26" t="s">
        <v>24</v>
      </c>
      <c r="AC62" s="26"/>
      <c r="AD62" s="26"/>
      <c r="AE62" s="140">
        <v>0.4</v>
      </c>
      <c r="AF62" s="27" t="e">
        <f>#REF!</f>
        <v>#REF!</v>
      </c>
      <c r="AG62" s="26" t="e">
        <f t="shared" si="39"/>
        <v>#REF!</v>
      </c>
      <c r="AH62" s="77">
        <v>1</v>
      </c>
      <c r="AI62" s="52">
        <v>7000</v>
      </c>
      <c r="AJ62" s="89">
        <f t="shared" si="40"/>
        <v>0</v>
      </c>
      <c r="AK62" s="794"/>
      <c r="AL62" s="118"/>
      <c r="AM62" s="88">
        <v>12</v>
      </c>
      <c r="AN62" s="26" t="s">
        <v>24</v>
      </c>
      <c r="AO62" s="26"/>
      <c r="AP62" s="26"/>
      <c r="AQ62" s="140">
        <v>0.4</v>
      </c>
      <c r="AR62" s="27" t="e">
        <f>#REF!</f>
        <v>#REF!</v>
      </c>
      <c r="AS62" s="26" t="e">
        <f t="shared" si="45"/>
        <v>#REF!</v>
      </c>
      <c r="AT62" s="77">
        <v>1</v>
      </c>
      <c r="AU62" s="52">
        <v>7000</v>
      </c>
      <c r="AV62" s="89">
        <f t="shared" si="46"/>
        <v>0</v>
      </c>
      <c r="AW62" s="794"/>
      <c r="AX62" s="22"/>
      <c r="AY62" s="5" t="e">
        <f t="shared" si="44"/>
        <v>#REF!</v>
      </c>
    </row>
    <row r="63" spans="1:56" ht="15" hidden="1" customHeight="1" outlineLevel="2">
      <c r="A63" s="746"/>
      <c r="B63" s="747"/>
      <c r="C63" s="299" t="s">
        <v>24</v>
      </c>
      <c r="D63" s="299"/>
      <c r="E63" s="299"/>
      <c r="F63" s="299"/>
      <c r="G63" s="249" t="e">
        <f>#REF!</f>
        <v>#REF!</v>
      </c>
      <c r="H63" s="299" t="e">
        <f>#REF!/G63</f>
        <v>#REF!</v>
      </c>
      <c r="I63" s="249">
        <v>1</v>
      </c>
      <c r="J63" s="252">
        <v>7000</v>
      </c>
      <c r="K63" s="280">
        <f t="shared" si="36"/>
        <v>0</v>
      </c>
      <c r="L63" s="800"/>
      <c r="M63" s="269"/>
      <c r="Q63" s="26" t="s">
        <v>24</v>
      </c>
      <c r="R63" s="26"/>
      <c r="S63" s="26"/>
      <c r="T63" s="140">
        <v>0.4</v>
      </c>
      <c r="U63" s="27" t="e">
        <f>#REF!</f>
        <v>#REF!</v>
      </c>
      <c r="V63" s="87" t="e">
        <f t="shared" si="37"/>
        <v>#REF!</v>
      </c>
      <c r="W63" s="77">
        <v>1</v>
      </c>
      <c r="X63" s="52">
        <v>7000</v>
      </c>
      <c r="Y63" s="89">
        <f t="shared" si="38"/>
        <v>0</v>
      </c>
      <c r="AA63" s="88">
        <v>13</v>
      </c>
      <c r="AB63" s="26" t="s">
        <v>24</v>
      </c>
      <c r="AC63" s="26"/>
      <c r="AD63" s="26"/>
      <c r="AE63" s="140">
        <v>0.4</v>
      </c>
      <c r="AF63" s="27" t="e">
        <f>#REF!</f>
        <v>#REF!</v>
      </c>
      <c r="AG63" s="26" t="e">
        <f t="shared" si="39"/>
        <v>#REF!</v>
      </c>
      <c r="AH63" s="77">
        <v>1</v>
      </c>
      <c r="AI63" s="52">
        <v>7000</v>
      </c>
      <c r="AJ63" s="89">
        <f t="shared" si="40"/>
        <v>0</v>
      </c>
      <c r="AK63" s="794"/>
      <c r="AL63" s="118"/>
      <c r="AM63" s="88">
        <v>13</v>
      </c>
      <c r="AN63" s="26" t="s">
        <v>24</v>
      </c>
      <c r="AO63" s="26"/>
      <c r="AP63" s="26"/>
      <c r="AQ63" s="140">
        <v>0.4</v>
      </c>
      <c r="AR63" s="27" t="e">
        <f>#REF!</f>
        <v>#REF!</v>
      </c>
      <c r="AS63" s="26" t="e">
        <f t="shared" si="45"/>
        <v>#REF!</v>
      </c>
      <c r="AT63" s="77">
        <v>1</v>
      </c>
      <c r="AU63" s="52">
        <v>7000</v>
      </c>
      <c r="AV63" s="89">
        <f t="shared" si="46"/>
        <v>0</v>
      </c>
      <c r="AW63" s="794"/>
      <c r="AX63" s="22"/>
      <c r="AY63" s="5" t="e">
        <f t="shared" si="44"/>
        <v>#REF!</v>
      </c>
    </row>
    <row r="64" spans="1:56" ht="15" hidden="1" customHeight="1" outlineLevel="2">
      <c r="A64" s="746"/>
      <c r="B64" s="747"/>
      <c r="C64" s="299" t="s">
        <v>24</v>
      </c>
      <c r="D64" s="299"/>
      <c r="E64" s="299"/>
      <c r="F64" s="299"/>
      <c r="G64" s="249" t="e">
        <f>#REF!</f>
        <v>#REF!</v>
      </c>
      <c r="H64" s="299" t="e">
        <f>#REF!/G64</f>
        <v>#REF!</v>
      </c>
      <c r="I64" s="249">
        <v>1</v>
      </c>
      <c r="J64" s="252">
        <v>7000</v>
      </c>
      <c r="K64" s="280">
        <f t="shared" si="36"/>
        <v>0</v>
      </c>
      <c r="L64" s="800"/>
      <c r="M64" s="269"/>
      <c r="Q64" s="26" t="s">
        <v>24</v>
      </c>
      <c r="R64" s="26"/>
      <c r="S64" s="26"/>
      <c r="T64" s="140">
        <v>0.4</v>
      </c>
      <c r="U64" s="27" t="e">
        <f>#REF!</f>
        <v>#REF!</v>
      </c>
      <c r="V64" s="87" t="e">
        <f t="shared" si="37"/>
        <v>#REF!</v>
      </c>
      <c r="W64" s="77">
        <v>1</v>
      </c>
      <c r="X64" s="52">
        <v>7000</v>
      </c>
      <c r="Y64" s="89">
        <f t="shared" si="38"/>
        <v>0</v>
      </c>
      <c r="AA64" s="88">
        <v>1</v>
      </c>
      <c r="AB64" s="26" t="s">
        <v>24</v>
      </c>
      <c r="AC64" s="26"/>
      <c r="AD64" s="26"/>
      <c r="AE64" s="140">
        <v>0.4</v>
      </c>
      <c r="AF64" s="27" t="e">
        <f>#REF!</f>
        <v>#REF!</v>
      </c>
      <c r="AG64" s="26" t="e">
        <f t="shared" si="39"/>
        <v>#REF!</v>
      </c>
      <c r="AH64" s="77">
        <v>1</v>
      </c>
      <c r="AI64" s="52">
        <v>7000</v>
      </c>
      <c r="AJ64" s="89">
        <f t="shared" si="40"/>
        <v>0</v>
      </c>
      <c r="AK64" s="794"/>
      <c r="AL64" s="118"/>
      <c r="AM64" s="88">
        <v>1</v>
      </c>
      <c r="AN64" s="26" t="s">
        <v>24</v>
      </c>
      <c r="AO64" s="26"/>
      <c r="AP64" s="26"/>
      <c r="AQ64" s="140">
        <v>0.4</v>
      </c>
      <c r="AR64" s="27" t="e">
        <f>#REF!</f>
        <v>#REF!</v>
      </c>
      <c r="AS64" s="26" t="e">
        <f t="shared" si="45"/>
        <v>#REF!</v>
      </c>
      <c r="AT64" s="77">
        <v>1</v>
      </c>
      <c r="AU64" s="52">
        <v>7000</v>
      </c>
      <c r="AV64" s="89">
        <f t="shared" si="46"/>
        <v>0</v>
      </c>
      <c r="AW64" s="794"/>
      <c r="AX64" s="22"/>
      <c r="AY64" s="5" t="e">
        <f t="shared" si="44"/>
        <v>#REF!</v>
      </c>
    </row>
    <row r="65" spans="1:55" ht="15" hidden="1" customHeight="1" outlineLevel="2">
      <c r="A65" s="746"/>
      <c r="B65" s="747"/>
      <c r="C65" s="299" t="s">
        <v>24</v>
      </c>
      <c r="D65" s="299"/>
      <c r="E65" s="299"/>
      <c r="F65" s="299"/>
      <c r="G65" s="249" t="e">
        <f>#REF!</f>
        <v>#REF!</v>
      </c>
      <c r="H65" s="299" t="e">
        <f>#REF!/G65</f>
        <v>#REF!</v>
      </c>
      <c r="I65" s="249">
        <v>1</v>
      </c>
      <c r="J65" s="252">
        <v>7000</v>
      </c>
      <c r="K65" s="280">
        <f t="shared" si="36"/>
        <v>0</v>
      </c>
      <c r="L65" s="800"/>
      <c r="M65" s="269"/>
      <c r="Q65" s="26" t="s">
        <v>24</v>
      </c>
      <c r="R65" s="26"/>
      <c r="S65" s="26"/>
      <c r="T65" s="140">
        <v>0.4</v>
      </c>
      <c r="U65" s="27" t="e">
        <f>#REF!</f>
        <v>#REF!</v>
      </c>
      <c r="V65" s="87" t="e">
        <f t="shared" si="37"/>
        <v>#REF!</v>
      </c>
      <c r="W65" s="77">
        <v>1</v>
      </c>
      <c r="X65" s="52">
        <v>7000</v>
      </c>
      <c r="Y65" s="89">
        <f t="shared" si="38"/>
        <v>0</v>
      </c>
      <c r="AA65" s="88">
        <v>1</v>
      </c>
      <c r="AB65" s="26" t="s">
        <v>24</v>
      </c>
      <c r="AC65" s="26"/>
      <c r="AD65" s="26"/>
      <c r="AE65" s="140">
        <v>0.4</v>
      </c>
      <c r="AF65" s="27" t="e">
        <f>#REF!</f>
        <v>#REF!</v>
      </c>
      <c r="AG65" s="26" t="e">
        <f t="shared" si="39"/>
        <v>#REF!</v>
      </c>
      <c r="AH65" s="77">
        <v>1</v>
      </c>
      <c r="AI65" s="52">
        <v>7000</v>
      </c>
      <c r="AJ65" s="89">
        <f t="shared" si="40"/>
        <v>0</v>
      </c>
      <c r="AK65" s="794"/>
      <c r="AL65" s="118"/>
      <c r="AM65" s="88">
        <v>1</v>
      </c>
      <c r="AN65" s="26" t="s">
        <v>24</v>
      </c>
      <c r="AO65" s="26"/>
      <c r="AP65" s="26"/>
      <c r="AQ65" s="140">
        <v>0.4</v>
      </c>
      <c r="AR65" s="27" t="e">
        <f>#REF!</f>
        <v>#REF!</v>
      </c>
      <c r="AS65" s="26" t="e">
        <f t="shared" si="45"/>
        <v>#REF!</v>
      </c>
      <c r="AT65" s="77">
        <v>1</v>
      </c>
      <c r="AU65" s="52">
        <v>7000</v>
      </c>
      <c r="AV65" s="89">
        <f t="shared" si="46"/>
        <v>0</v>
      </c>
      <c r="AW65" s="794"/>
      <c r="AX65" s="22"/>
      <c r="AY65" s="5" t="e">
        <f t="shared" si="44"/>
        <v>#REF!</v>
      </c>
    </row>
    <row r="66" spans="1:55" ht="15" hidden="1" customHeight="1" outlineLevel="2">
      <c r="A66" s="746"/>
      <c r="B66" s="747"/>
      <c r="C66" s="299"/>
      <c r="D66" s="299"/>
      <c r="E66" s="299"/>
      <c r="F66" s="299"/>
      <c r="G66" s="300"/>
      <c r="H66" s="299" t="e">
        <f>#REF!/G66</f>
        <v>#REF!</v>
      </c>
      <c r="I66" s="249"/>
      <c r="J66" s="252"/>
      <c r="K66" s="280">
        <f t="shared" si="36"/>
        <v>0</v>
      </c>
      <c r="L66" s="800"/>
      <c r="M66" s="269"/>
      <c r="Q66" s="26"/>
      <c r="R66" s="26"/>
      <c r="S66" s="26"/>
      <c r="T66" s="140"/>
      <c r="U66" s="43"/>
      <c r="V66" s="87" t="e">
        <f t="shared" si="37"/>
        <v>#DIV/0!</v>
      </c>
      <c r="W66" s="77"/>
      <c r="X66" s="52"/>
      <c r="Y66" s="89">
        <f t="shared" si="38"/>
        <v>0</v>
      </c>
      <c r="AA66" s="88"/>
      <c r="AB66" s="26"/>
      <c r="AC66" s="26"/>
      <c r="AD66" s="26"/>
      <c r="AE66" s="140"/>
      <c r="AF66" s="43"/>
      <c r="AG66" s="26" t="e">
        <f t="shared" si="39"/>
        <v>#DIV/0!</v>
      </c>
      <c r="AH66" s="77"/>
      <c r="AI66" s="52"/>
      <c r="AJ66" s="89">
        <f t="shared" si="40"/>
        <v>0</v>
      </c>
      <c r="AK66" s="794"/>
      <c r="AL66" s="118"/>
      <c r="AM66" s="88"/>
      <c r="AN66" s="26"/>
      <c r="AO66" s="26"/>
      <c r="AP66" s="26"/>
      <c r="AQ66" s="140"/>
      <c r="AR66" s="43"/>
      <c r="AS66" s="26" t="e">
        <f t="shared" si="45"/>
        <v>#DIV/0!</v>
      </c>
      <c r="AT66" s="77"/>
      <c r="AU66" s="52"/>
      <c r="AV66" s="89">
        <f t="shared" si="46"/>
        <v>0</v>
      </c>
      <c r="AW66" s="794"/>
      <c r="AX66" s="22"/>
      <c r="AY66" s="5">
        <f t="shared" si="44"/>
        <v>0</v>
      </c>
    </row>
    <row r="67" spans="1:55" ht="15" hidden="1" customHeight="1" outlineLevel="2" thickBot="1">
      <c r="A67" s="746"/>
      <c r="B67" s="747"/>
      <c r="C67" s="786"/>
      <c r="D67" s="786"/>
      <c r="E67" s="786"/>
      <c r="F67" s="786"/>
      <c r="G67" s="786"/>
      <c r="H67" s="786"/>
      <c r="I67" s="786"/>
      <c r="J67" s="786"/>
      <c r="K67" s="247">
        <f>SUM(K54:K56)</f>
        <v>0</v>
      </c>
      <c r="L67" s="800"/>
      <c r="M67" s="270"/>
      <c r="Q67" s="68"/>
      <c r="R67" s="68"/>
      <c r="S67" s="68"/>
      <c r="T67" s="68"/>
      <c r="U67" s="68"/>
      <c r="V67" s="125"/>
      <c r="W67" s="68"/>
      <c r="X67" s="68"/>
      <c r="Y67" s="92">
        <f>SUM(Y54:Y56)</f>
        <v>836.91273825503356</v>
      </c>
      <c r="AA67" s="787" t="s">
        <v>44</v>
      </c>
      <c r="AB67" s="788"/>
      <c r="AC67" s="788"/>
      <c r="AD67" s="788"/>
      <c r="AE67" s="788"/>
      <c r="AF67" s="788"/>
      <c r="AG67" s="788"/>
      <c r="AH67" s="788"/>
      <c r="AI67" s="789"/>
      <c r="AJ67" s="92">
        <f>SUM(AJ54:AJ56)</f>
        <v>836.91273825503356</v>
      </c>
      <c r="AK67" s="795"/>
      <c r="AL67" s="124"/>
      <c r="AM67" s="787" t="s">
        <v>44</v>
      </c>
      <c r="AN67" s="788"/>
      <c r="AO67" s="788"/>
      <c r="AP67" s="788"/>
      <c r="AQ67" s="788"/>
      <c r="AR67" s="788"/>
      <c r="AS67" s="788"/>
      <c r="AT67" s="788"/>
      <c r="AU67" s="789"/>
      <c r="AV67" s="92">
        <f>SUM(AV54:AV56)</f>
        <v>0</v>
      </c>
      <c r="AW67" s="795"/>
      <c r="AX67" s="22"/>
      <c r="AY67" s="38">
        <f>SUM(AY54:AY56)</f>
        <v>84528.186563758383</v>
      </c>
    </row>
    <row r="68" spans="1:55" ht="15.75" hidden="1" customHeight="1" thickBot="1">
      <c r="A68" s="746"/>
      <c r="B68" s="747"/>
      <c r="C68" s="796"/>
      <c r="D68" s="796"/>
      <c r="E68" s="796"/>
      <c r="F68" s="796"/>
      <c r="G68" s="796"/>
      <c r="H68" s="796"/>
      <c r="I68" s="796"/>
      <c r="J68" s="796"/>
      <c r="K68" s="247">
        <f>K67+K51+K19</f>
        <v>0</v>
      </c>
      <c r="L68" s="249"/>
      <c r="M68" s="143"/>
      <c r="Q68" s="68"/>
      <c r="R68" s="68"/>
      <c r="S68" s="68"/>
      <c r="T68" s="68"/>
      <c r="U68" s="68"/>
      <c r="V68" s="125"/>
      <c r="W68" s="68"/>
      <c r="X68" s="68"/>
      <c r="Y68" s="92">
        <f>Y67+Y51+Y19</f>
        <v>57198.788134228191</v>
      </c>
      <c r="AA68" s="797" t="s">
        <v>108</v>
      </c>
      <c r="AB68" s="798"/>
      <c r="AC68" s="798"/>
      <c r="AD68" s="798"/>
      <c r="AE68" s="798"/>
      <c r="AF68" s="798"/>
      <c r="AG68" s="798"/>
      <c r="AH68" s="798"/>
      <c r="AI68" s="799"/>
      <c r="AJ68" s="92">
        <f>AJ67+AJ51+AJ19</f>
        <v>57198.788134228198</v>
      </c>
      <c r="AK68" s="77"/>
      <c r="AL68" s="143"/>
      <c r="AM68" s="797" t="s">
        <v>108</v>
      </c>
      <c r="AN68" s="798"/>
      <c r="AO68" s="798"/>
      <c r="AP68" s="798"/>
      <c r="AQ68" s="798"/>
      <c r="AR68" s="798"/>
      <c r="AS68" s="798"/>
      <c r="AT68" s="798"/>
      <c r="AU68" s="799"/>
      <c r="AV68" s="92">
        <f>AV67+AV51+AV19</f>
        <v>20578.851638255033</v>
      </c>
      <c r="AW68" s="77"/>
      <c r="AX68" s="23"/>
      <c r="AY68" s="144">
        <f>AY67+AY51+AY19</f>
        <v>8440567.7816375829</v>
      </c>
      <c r="AZ68" s="5" t="s">
        <v>225</v>
      </c>
    </row>
    <row r="69" spans="1:55" ht="384.75" hidden="1" customHeight="1">
      <c r="A69" s="746"/>
      <c r="B69" s="747"/>
      <c r="C69" s="301" t="s">
        <v>10</v>
      </c>
      <c r="D69" s="301"/>
      <c r="E69" s="301" t="s">
        <v>28</v>
      </c>
      <c r="F69" s="301" t="s">
        <v>20</v>
      </c>
      <c r="G69" s="302" t="s">
        <v>96</v>
      </c>
      <c r="H69" s="301" t="s">
        <v>55</v>
      </c>
      <c r="I69" s="301" t="s">
        <v>75</v>
      </c>
      <c r="J69" s="301" t="s">
        <v>23</v>
      </c>
      <c r="K69" s="301" t="s">
        <v>11</v>
      </c>
      <c r="L69" s="301" t="s">
        <v>45</v>
      </c>
      <c r="M69" s="273"/>
      <c r="Q69" s="146" t="s">
        <v>10</v>
      </c>
      <c r="R69" s="146" t="s">
        <v>28</v>
      </c>
      <c r="S69" s="146" t="s">
        <v>20</v>
      </c>
      <c r="T69" s="108" t="s">
        <v>2</v>
      </c>
      <c r="U69" s="147" t="s">
        <v>96</v>
      </c>
      <c r="V69" s="148" t="s">
        <v>55</v>
      </c>
      <c r="W69" s="146" t="s">
        <v>75</v>
      </c>
      <c r="X69" s="146" t="s">
        <v>23</v>
      </c>
      <c r="Y69" s="146" t="s">
        <v>11</v>
      </c>
      <c r="AA69" s="146" t="s">
        <v>9</v>
      </c>
      <c r="AB69" s="146" t="s">
        <v>10</v>
      </c>
      <c r="AC69" s="146" t="s">
        <v>28</v>
      </c>
      <c r="AD69" s="146" t="s">
        <v>20</v>
      </c>
      <c r="AE69" s="108" t="s">
        <v>2</v>
      </c>
      <c r="AF69" s="147" t="s">
        <v>96</v>
      </c>
      <c r="AG69" s="146" t="s">
        <v>55</v>
      </c>
      <c r="AH69" s="146" t="s">
        <v>75</v>
      </c>
      <c r="AI69" s="146" t="s">
        <v>23</v>
      </c>
      <c r="AJ69" s="146" t="s">
        <v>11</v>
      </c>
      <c r="AK69" s="146" t="s">
        <v>45</v>
      </c>
      <c r="AL69" s="145"/>
      <c r="AM69" s="146" t="s">
        <v>9</v>
      </c>
      <c r="AN69" s="146" t="s">
        <v>10</v>
      </c>
      <c r="AO69" s="146" t="s">
        <v>28</v>
      </c>
      <c r="AP69" s="146" t="s">
        <v>20</v>
      </c>
      <c r="AQ69" s="108" t="s">
        <v>2</v>
      </c>
      <c r="AR69" s="147" t="s">
        <v>96</v>
      </c>
      <c r="AS69" s="146" t="s">
        <v>55</v>
      </c>
      <c r="AT69" s="146" t="s">
        <v>75</v>
      </c>
      <c r="AU69" s="146" t="s">
        <v>23</v>
      </c>
      <c r="AV69" s="146" t="s">
        <v>11</v>
      </c>
      <c r="AW69" s="146" t="s">
        <v>45</v>
      </c>
      <c r="AZ69" s="24">
        <f>AY68+BA51+BA19</f>
        <v>11506816.675737582</v>
      </c>
    </row>
    <row r="70" spans="1:55" ht="15" hidden="1" customHeight="1">
      <c r="A70" s="746"/>
      <c r="B70" s="747"/>
      <c r="C70" s="303">
        <v>1</v>
      </c>
      <c r="D70" s="303"/>
      <c r="E70" s="303">
        <v>2</v>
      </c>
      <c r="F70" s="303">
        <v>3</v>
      </c>
      <c r="G70" s="304">
        <v>5</v>
      </c>
      <c r="H70" s="303" t="s">
        <v>64</v>
      </c>
      <c r="I70" s="303">
        <v>7</v>
      </c>
      <c r="J70" s="303">
        <v>8</v>
      </c>
      <c r="K70" s="303" t="s">
        <v>111</v>
      </c>
      <c r="L70" s="301"/>
      <c r="M70" s="273"/>
      <c r="Q70" s="149">
        <v>1</v>
      </c>
      <c r="R70" s="149">
        <v>2</v>
      </c>
      <c r="S70" s="149">
        <v>3</v>
      </c>
      <c r="T70" s="150">
        <v>4</v>
      </c>
      <c r="U70" s="150">
        <v>5</v>
      </c>
      <c r="V70" s="151" t="s">
        <v>64</v>
      </c>
      <c r="W70" s="149">
        <v>7</v>
      </c>
      <c r="X70" s="149">
        <v>8</v>
      </c>
      <c r="Y70" s="149" t="s">
        <v>111</v>
      </c>
      <c r="AA70" s="149">
        <v>1</v>
      </c>
      <c r="AB70" s="149">
        <v>1</v>
      </c>
      <c r="AC70" s="149">
        <v>2</v>
      </c>
      <c r="AD70" s="149">
        <v>3</v>
      </c>
      <c r="AE70" s="150">
        <v>4</v>
      </c>
      <c r="AF70" s="150">
        <v>5</v>
      </c>
      <c r="AG70" s="149" t="s">
        <v>64</v>
      </c>
      <c r="AH70" s="149">
        <v>7</v>
      </c>
      <c r="AI70" s="149">
        <v>8</v>
      </c>
      <c r="AJ70" s="149" t="s">
        <v>111</v>
      </c>
      <c r="AK70" s="146"/>
      <c r="AL70" s="145"/>
      <c r="AM70" s="149">
        <v>1</v>
      </c>
      <c r="AN70" s="149">
        <v>1</v>
      </c>
      <c r="AO70" s="149">
        <v>2</v>
      </c>
      <c r="AP70" s="149">
        <v>3</v>
      </c>
      <c r="AQ70" s="150">
        <v>4</v>
      </c>
      <c r="AR70" s="150">
        <v>5</v>
      </c>
      <c r="AS70" s="149" t="s">
        <v>64</v>
      </c>
      <c r="AT70" s="149">
        <v>7</v>
      </c>
      <c r="AU70" s="149">
        <v>8</v>
      </c>
      <c r="AV70" s="149" t="s">
        <v>111</v>
      </c>
      <c r="AW70" s="146"/>
    </row>
    <row r="71" spans="1:55" ht="15" customHeight="1">
      <c r="A71" s="746"/>
      <c r="B71" s="747"/>
      <c r="C71" s="809" t="s">
        <v>12</v>
      </c>
      <c r="D71" s="809"/>
      <c r="E71" s="809"/>
      <c r="F71" s="809"/>
      <c r="G71" s="809"/>
      <c r="H71" s="809"/>
      <c r="I71" s="809"/>
      <c r="J71" s="809"/>
      <c r="K71" s="809"/>
      <c r="L71" s="809"/>
      <c r="M71" s="152"/>
      <c r="Q71" s="68"/>
      <c r="R71" s="68"/>
      <c r="S71" s="68"/>
      <c r="T71" s="68"/>
      <c r="U71" s="68"/>
      <c r="V71" s="125"/>
      <c r="W71" s="68"/>
      <c r="X71" s="68"/>
      <c r="Y71" s="68"/>
      <c r="AA71" s="806" t="s">
        <v>12</v>
      </c>
      <c r="AB71" s="807"/>
      <c r="AC71" s="807"/>
      <c r="AD71" s="807"/>
      <c r="AE71" s="807"/>
      <c r="AF71" s="807"/>
      <c r="AG71" s="807"/>
      <c r="AH71" s="807"/>
      <c r="AI71" s="807"/>
      <c r="AJ71" s="807"/>
      <c r="AK71" s="808"/>
      <c r="AL71" s="152"/>
      <c r="AM71" s="806" t="s">
        <v>12</v>
      </c>
      <c r="AN71" s="807"/>
      <c r="AO71" s="807"/>
      <c r="AP71" s="807"/>
      <c r="AQ71" s="807"/>
      <c r="AR71" s="807"/>
      <c r="AS71" s="807"/>
      <c r="AT71" s="807"/>
      <c r="AU71" s="807"/>
      <c r="AV71" s="807"/>
      <c r="AW71" s="808"/>
      <c r="BC71" s="24"/>
    </row>
    <row r="72" spans="1:55" ht="15.75" customHeight="1">
      <c r="A72" s="746"/>
      <c r="B72" s="747"/>
      <c r="C72" s="279" t="s">
        <v>16</v>
      </c>
      <c r="D72" s="305" t="s">
        <v>226</v>
      </c>
      <c r="E72" s="801" t="e">
        <f>'расчет по услугам'!#REF!</f>
        <v>#REF!</v>
      </c>
      <c r="F72" s="801"/>
      <c r="G72" s="306">
        <v>1</v>
      </c>
      <c r="H72" s="278" t="e">
        <f>E72*G72/#REF!</f>
        <v>#REF!</v>
      </c>
      <c r="I72" s="225">
        <v>6.2127809999999997</v>
      </c>
      <c r="J72" s="307"/>
      <c r="K72" s="280" t="e">
        <f>I72*H72</f>
        <v>#REF!</v>
      </c>
      <c r="L72" s="249"/>
      <c r="M72" s="274"/>
      <c r="Q72" s="154" t="s">
        <v>16</v>
      </c>
      <c r="R72" s="155" t="s">
        <v>47</v>
      </c>
      <c r="S72" s="156">
        <f>59460*0.5/149*T72</f>
        <v>9577.4496644295305</v>
      </c>
      <c r="T72" s="157">
        <v>48</v>
      </c>
      <c r="U72" s="158">
        <v>1</v>
      </c>
      <c r="V72" s="159">
        <f>S72*U72/T72</f>
        <v>199.53020134228188</v>
      </c>
      <c r="W72" s="160">
        <v>6.2127809999999997</v>
      </c>
      <c r="X72" s="30"/>
      <c r="Y72" s="46">
        <f>W72*V72</f>
        <v>1239.6374438255034</v>
      </c>
      <c r="AA72" s="41">
        <v>1</v>
      </c>
      <c r="AB72" s="154" t="s">
        <v>16</v>
      </c>
      <c r="AC72" s="155" t="s">
        <v>47</v>
      </c>
      <c r="AD72" s="156">
        <f>59460*0.5/149*AE72</f>
        <v>20152.550335570471</v>
      </c>
      <c r="AE72" s="157">
        <v>101</v>
      </c>
      <c r="AF72" s="158">
        <v>1</v>
      </c>
      <c r="AG72" s="161">
        <f>AD72*AF72/AE72</f>
        <v>199.53020134228188</v>
      </c>
      <c r="AH72" s="160">
        <v>6.2127809999999997</v>
      </c>
      <c r="AI72" s="30"/>
      <c r="AJ72" s="46">
        <f>AH72*AG72</f>
        <v>1239.6374438255034</v>
      </c>
      <c r="AK72" s="27"/>
      <c r="AL72" s="153"/>
      <c r="AM72" s="41">
        <v>1</v>
      </c>
      <c r="AN72" s="154" t="s">
        <v>16</v>
      </c>
      <c r="AO72" s="155" t="s">
        <v>47</v>
      </c>
      <c r="AP72" s="156">
        <f>59460*0.5</f>
        <v>29730</v>
      </c>
      <c r="AQ72" s="157">
        <v>149</v>
      </c>
      <c r="AR72" s="158">
        <v>1</v>
      </c>
      <c r="AS72" s="161">
        <f>AP72*AR72/AQ72</f>
        <v>199.53020134228188</v>
      </c>
      <c r="AT72" s="160">
        <v>6.2127809999999997</v>
      </c>
      <c r="AU72" s="30"/>
      <c r="AV72" s="46">
        <f>AT72*AS72</f>
        <v>1239.6374438255034</v>
      </c>
      <c r="AW72" s="27"/>
      <c r="AY72" s="5">
        <f>AJ72*AE72</f>
        <v>125203.38182637584</v>
      </c>
      <c r="AZ72" s="5">
        <v>369412</v>
      </c>
      <c r="BA72" s="5">
        <f>AP72*AT72</f>
        <v>184705.97912999999</v>
      </c>
      <c r="BB72" s="5">
        <f>AZ72-AY72-BA72</f>
        <v>59502.639043624164</v>
      </c>
    </row>
    <row r="73" spans="1:55" ht="15.75" customHeight="1">
      <c r="A73" s="746"/>
      <c r="B73" s="747"/>
      <c r="C73" s="279" t="s">
        <v>13</v>
      </c>
      <c r="D73" s="305" t="s">
        <v>227</v>
      </c>
      <c r="E73" s="801" t="e">
        <f>'расчет по услугам'!#REF!</f>
        <v>#REF!</v>
      </c>
      <c r="F73" s="801"/>
      <c r="G73" s="306">
        <v>1</v>
      </c>
      <c r="H73" s="278" t="e">
        <f>E73*G73/#REF!</f>
        <v>#REF!</v>
      </c>
      <c r="I73" s="225">
        <v>2760.4580599999999</v>
      </c>
      <c r="J73" s="307"/>
      <c r="K73" s="280" t="e">
        <f>I73*H73</f>
        <v>#REF!</v>
      </c>
      <c r="L73" s="249"/>
      <c r="M73" s="274"/>
      <c r="Q73" s="154" t="s">
        <v>13</v>
      </c>
      <c r="R73" s="155" t="s">
        <v>227</v>
      </c>
      <c r="S73" s="156">
        <f>(361)*0.5/149*T73</f>
        <v>58.147651006711413</v>
      </c>
      <c r="T73" s="157">
        <f>T72</f>
        <v>48</v>
      </c>
      <c r="U73" s="158">
        <v>1</v>
      </c>
      <c r="V73" s="159">
        <f>S73*U73/T73</f>
        <v>1.2114093959731544</v>
      </c>
      <c r="W73" s="160">
        <v>2760.4580599999999</v>
      </c>
      <c r="X73" s="30"/>
      <c r="Y73" s="46">
        <f>W73*V73</f>
        <v>3344.0448310738257</v>
      </c>
      <c r="AA73" s="41">
        <v>2</v>
      </c>
      <c r="AB73" s="154" t="s">
        <v>13</v>
      </c>
      <c r="AC73" s="155" t="s">
        <v>227</v>
      </c>
      <c r="AD73" s="156">
        <f>(361)*0.5/149*AE73</f>
        <v>122.3523489932886</v>
      </c>
      <c r="AE73" s="157">
        <f>AE72</f>
        <v>101</v>
      </c>
      <c r="AF73" s="158">
        <v>1</v>
      </c>
      <c r="AG73" s="161">
        <f>AD73*AF73/AE73</f>
        <v>1.2114093959731544</v>
      </c>
      <c r="AH73" s="160">
        <v>2760.4580599999999</v>
      </c>
      <c r="AI73" s="30"/>
      <c r="AJ73" s="46">
        <f>AH73*AG73</f>
        <v>3344.0448310738257</v>
      </c>
      <c r="AK73" s="27"/>
      <c r="AL73" s="153"/>
      <c r="AM73" s="41">
        <v>2</v>
      </c>
      <c r="AN73" s="154" t="s">
        <v>13</v>
      </c>
      <c r="AO73" s="155" t="s">
        <v>227</v>
      </c>
      <c r="AP73" s="156">
        <f>(361)*0.5</f>
        <v>180.5</v>
      </c>
      <c r="AQ73" s="157">
        <f>AQ72</f>
        <v>149</v>
      </c>
      <c r="AR73" s="158">
        <v>1</v>
      </c>
      <c r="AS73" s="161">
        <f>AP73*AR73/AQ73</f>
        <v>1.2114093959731544</v>
      </c>
      <c r="AT73" s="160">
        <v>2760.4580599999999</v>
      </c>
      <c r="AU73" s="30"/>
      <c r="AV73" s="46">
        <f>AT73*AS73</f>
        <v>3344.0448310738257</v>
      </c>
      <c r="AW73" s="27"/>
      <c r="AY73" s="5">
        <f>AJ73*AE73</f>
        <v>337748.52793845639</v>
      </c>
      <c r="AZ73" s="5">
        <v>996525.36</v>
      </c>
      <c r="BA73" s="5">
        <f t="shared" ref="BA73:BA75" si="47">AT73*AP73</f>
        <v>498262.67982999998</v>
      </c>
      <c r="BB73" s="5">
        <f t="shared" ref="BB73" si="48">AZ73-AY73-BA73</f>
        <v>160514.15223154362</v>
      </c>
    </row>
    <row r="74" spans="1:55" ht="15.75" customHeight="1">
      <c r="A74" s="746"/>
      <c r="B74" s="747"/>
      <c r="C74" s="279" t="s">
        <v>14</v>
      </c>
      <c r="D74" s="305" t="s">
        <v>228</v>
      </c>
      <c r="E74" s="801" t="e">
        <f>'расчет по услугам'!#REF!</f>
        <v>#REF!</v>
      </c>
      <c r="F74" s="801"/>
      <c r="G74" s="306">
        <v>1</v>
      </c>
      <c r="H74" s="278" t="e">
        <f>E74*G74/#REF!</f>
        <v>#REF!</v>
      </c>
      <c r="I74" s="225">
        <v>48.984999999999999</v>
      </c>
      <c r="J74" s="307"/>
      <c r="K74" s="280" t="e">
        <f>I74*H74</f>
        <v>#REF!</v>
      </c>
      <c r="L74" s="249"/>
      <c r="M74" s="274"/>
      <c r="Q74" s="154" t="s">
        <v>14</v>
      </c>
      <c r="R74" s="155" t="s">
        <v>46</v>
      </c>
      <c r="S74" s="156">
        <f>4282*0.5/149*T74</f>
        <v>689.71812080536915</v>
      </c>
      <c r="T74" s="157">
        <f t="shared" ref="T74:T75" si="49">T73</f>
        <v>48</v>
      </c>
      <c r="U74" s="158">
        <v>1</v>
      </c>
      <c r="V74" s="159">
        <f>S74*U74/T74</f>
        <v>14.369127516778525</v>
      </c>
      <c r="W74" s="160">
        <v>48.984999999999999</v>
      </c>
      <c r="X74" s="30"/>
      <c r="Y74" s="46">
        <f>W74*V74</f>
        <v>703.87171140939597</v>
      </c>
      <c r="AA74" s="41">
        <v>3</v>
      </c>
      <c r="AB74" s="154" t="s">
        <v>14</v>
      </c>
      <c r="AC74" s="155" t="s">
        <v>46</v>
      </c>
      <c r="AD74" s="156">
        <f>4282*0.5/149*AE74</f>
        <v>1451.2818791946308</v>
      </c>
      <c r="AE74" s="157">
        <f t="shared" ref="AE74:AE75" si="50">AE73</f>
        <v>101</v>
      </c>
      <c r="AF74" s="158">
        <v>1</v>
      </c>
      <c r="AG74" s="161">
        <f>AD74*AF74/AE74</f>
        <v>14.369127516778523</v>
      </c>
      <c r="AH74" s="160">
        <v>48.984999999999999</v>
      </c>
      <c r="AI74" s="30"/>
      <c r="AJ74" s="46">
        <f>AH74*AG74</f>
        <v>703.87171140939597</v>
      </c>
      <c r="AK74" s="27"/>
      <c r="AL74" s="153"/>
      <c r="AM74" s="41">
        <v>3</v>
      </c>
      <c r="AN74" s="154" t="s">
        <v>14</v>
      </c>
      <c r="AO74" s="155" t="s">
        <v>46</v>
      </c>
      <c r="AP74" s="156">
        <f>4282*0.5</f>
        <v>2141</v>
      </c>
      <c r="AQ74" s="157">
        <f t="shared" ref="AQ74:AQ75" si="51">AQ73</f>
        <v>149</v>
      </c>
      <c r="AR74" s="158">
        <v>1</v>
      </c>
      <c r="AS74" s="161">
        <f>AP74*AR74/AQ74</f>
        <v>14.369127516778523</v>
      </c>
      <c r="AT74" s="160">
        <v>48.984999999999999</v>
      </c>
      <c r="AU74" s="30"/>
      <c r="AV74" s="46">
        <f>AT74*AS74</f>
        <v>703.87171140939597</v>
      </c>
      <c r="AW74" s="27"/>
      <c r="AY74" s="5">
        <f>AJ74*AE74</f>
        <v>71091.042852348997</v>
      </c>
      <c r="BA74" s="5">
        <f t="shared" si="47"/>
        <v>104876.88499999999</v>
      </c>
    </row>
    <row r="75" spans="1:55" ht="16.5" customHeight="1" thickBot="1">
      <c r="A75" s="746"/>
      <c r="B75" s="747"/>
      <c r="C75" s="279" t="s">
        <v>15</v>
      </c>
      <c r="D75" s="305" t="s">
        <v>228</v>
      </c>
      <c r="E75" s="801" t="e">
        <f>'расчет по услугам'!#REF!</f>
        <v>#REF!</v>
      </c>
      <c r="F75" s="801"/>
      <c r="G75" s="306">
        <v>1</v>
      </c>
      <c r="H75" s="278" t="e">
        <f>E75*G75/#REF!</f>
        <v>#REF!</v>
      </c>
      <c r="I75" s="225">
        <v>46.695</v>
      </c>
      <c r="J75" s="307"/>
      <c r="K75" s="280" t="e">
        <f>I75*H75</f>
        <v>#REF!</v>
      </c>
      <c r="L75" s="249"/>
      <c r="M75" s="274"/>
      <c r="Q75" s="154" t="s">
        <v>15</v>
      </c>
      <c r="R75" s="155" t="s">
        <v>46</v>
      </c>
      <c r="S75" s="156">
        <f>4282*0.5/149*T75</f>
        <v>689.71812080536915</v>
      </c>
      <c r="T75" s="157">
        <f t="shared" si="49"/>
        <v>48</v>
      </c>
      <c r="U75" s="158">
        <v>1</v>
      </c>
      <c r="V75" s="159">
        <f t="shared" ref="V75" si="52">S75*U75/T75</f>
        <v>14.369127516778525</v>
      </c>
      <c r="W75" s="160">
        <v>46.695</v>
      </c>
      <c r="X75" s="30"/>
      <c r="Y75" s="46">
        <f>W75*V75</f>
        <v>670.96640939597319</v>
      </c>
      <c r="AA75" s="41">
        <v>4</v>
      </c>
      <c r="AB75" s="154" t="s">
        <v>15</v>
      </c>
      <c r="AC75" s="155" t="s">
        <v>46</v>
      </c>
      <c r="AD75" s="156">
        <f>4282*0.5/149*AE75</f>
        <v>1451.2818791946308</v>
      </c>
      <c r="AE75" s="157">
        <f t="shared" si="50"/>
        <v>101</v>
      </c>
      <c r="AF75" s="158">
        <v>1</v>
      </c>
      <c r="AG75" s="161">
        <f t="shared" ref="AG75" si="53">AD75*AF75/AE75</f>
        <v>14.369127516778523</v>
      </c>
      <c r="AH75" s="160">
        <v>46.695</v>
      </c>
      <c r="AI75" s="30"/>
      <c r="AJ75" s="46">
        <f>AH75*AG75</f>
        <v>670.96640939597307</v>
      </c>
      <c r="AK75" s="27"/>
      <c r="AL75" s="153"/>
      <c r="AM75" s="41">
        <v>4</v>
      </c>
      <c r="AN75" s="154" t="s">
        <v>15</v>
      </c>
      <c r="AO75" s="155" t="s">
        <v>46</v>
      </c>
      <c r="AP75" s="156">
        <f>4282*0.5</f>
        <v>2141</v>
      </c>
      <c r="AQ75" s="157">
        <f t="shared" si="51"/>
        <v>149</v>
      </c>
      <c r="AR75" s="158">
        <v>1</v>
      </c>
      <c r="AS75" s="161">
        <f t="shared" ref="AS75" si="54">AP75*AR75/AQ75</f>
        <v>14.369127516778523</v>
      </c>
      <c r="AT75" s="160">
        <v>46.695</v>
      </c>
      <c r="AU75" s="30"/>
      <c r="AV75" s="46">
        <f>AT75*AS75</f>
        <v>670.96640939597307</v>
      </c>
      <c r="AW75" s="27"/>
      <c r="AY75" s="5">
        <f>AJ75*AE75</f>
        <v>67767.607348993275</v>
      </c>
      <c r="AZ75" s="5">
        <v>409702.96</v>
      </c>
      <c r="BA75" s="5">
        <f t="shared" si="47"/>
        <v>99973.994999999995</v>
      </c>
      <c r="BB75" s="5">
        <f>AZ75-AY74-AY75-BA74-BA75</f>
        <v>65993.429798657773</v>
      </c>
    </row>
    <row r="76" spans="1:55" ht="15.75" hidden="1" customHeight="1" thickBot="1">
      <c r="A76" s="746"/>
      <c r="B76" s="747"/>
      <c r="C76" s="802"/>
      <c r="D76" s="802"/>
      <c r="E76" s="802"/>
      <c r="F76" s="802"/>
      <c r="G76" s="802"/>
      <c r="H76" s="802"/>
      <c r="I76" s="802"/>
      <c r="J76" s="802"/>
      <c r="K76" s="308" t="e">
        <f>SUM(K72:K75)</f>
        <v>#REF!</v>
      </c>
      <c r="L76" s="249"/>
      <c r="M76" s="275"/>
      <c r="Q76" s="68"/>
      <c r="R76" s="68"/>
      <c r="S76" s="68"/>
      <c r="T76" s="68"/>
      <c r="U76" s="68"/>
      <c r="V76" s="68"/>
      <c r="W76" s="68"/>
      <c r="X76" s="68"/>
      <c r="Y76" s="163">
        <f>SUM(Y72:Y75)</f>
        <v>5958.5203957046979</v>
      </c>
      <c r="AA76" s="803" t="s">
        <v>27</v>
      </c>
      <c r="AB76" s="804"/>
      <c r="AC76" s="804"/>
      <c r="AD76" s="804"/>
      <c r="AE76" s="804"/>
      <c r="AF76" s="804"/>
      <c r="AG76" s="804"/>
      <c r="AH76" s="804"/>
      <c r="AI76" s="805"/>
      <c r="AJ76" s="163">
        <f>SUM(AJ72:AJ75)</f>
        <v>5958.5203957046979</v>
      </c>
      <c r="AK76" s="27"/>
      <c r="AL76" s="162"/>
      <c r="AM76" s="803" t="s">
        <v>27</v>
      </c>
      <c r="AN76" s="804"/>
      <c r="AO76" s="804"/>
      <c r="AP76" s="804"/>
      <c r="AQ76" s="804"/>
      <c r="AR76" s="804"/>
      <c r="AS76" s="804"/>
      <c r="AT76" s="804"/>
      <c r="AU76" s="805"/>
      <c r="AV76" s="163">
        <f>SUM(AV72:AV75)</f>
        <v>5958.5203957046979</v>
      </c>
      <c r="AW76" s="27"/>
      <c r="AY76" s="164">
        <f>SUM(AY72:AY75)</f>
        <v>601810.55996617454</v>
      </c>
      <c r="AZ76" s="165">
        <f>2043459-267818.68</f>
        <v>1775640.32</v>
      </c>
      <c r="BA76" s="17">
        <f>SUM(BA72:BA75)</f>
        <v>887819.53895999992</v>
      </c>
    </row>
    <row r="77" spans="1:55" ht="36" customHeight="1" thickBot="1">
      <c r="A77" s="746"/>
      <c r="B77" s="747"/>
      <c r="C77" s="749" t="s">
        <v>229</v>
      </c>
      <c r="D77" s="749"/>
      <c r="E77" s="749"/>
      <c r="F77" s="749"/>
      <c r="G77" s="749"/>
      <c r="H77" s="749"/>
      <c r="I77" s="749"/>
      <c r="J77" s="749"/>
      <c r="K77" s="749"/>
      <c r="L77" s="749"/>
      <c r="M77" s="152"/>
      <c r="Q77" s="68"/>
      <c r="R77" s="68"/>
      <c r="S77" s="68"/>
      <c r="T77" s="68"/>
      <c r="U77" s="68"/>
      <c r="V77" s="68"/>
      <c r="W77" s="68"/>
      <c r="X77" s="68"/>
      <c r="Y77" s="68"/>
      <c r="AA77" s="806" t="s">
        <v>68</v>
      </c>
      <c r="AB77" s="807"/>
      <c r="AC77" s="807"/>
      <c r="AD77" s="807"/>
      <c r="AE77" s="807"/>
      <c r="AF77" s="807"/>
      <c r="AG77" s="807"/>
      <c r="AH77" s="807"/>
      <c r="AI77" s="807"/>
      <c r="AJ77" s="807"/>
      <c r="AK77" s="808"/>
      <c r="AL77" s="152"/>
      <c r="AM77" s="806" t="s">
        <v>68</v>
      </c>
      <c r="AN77" s="807"/>
      <c r="AO77" s="807"/>
      <c r="AP77" s="807"/>
      <c r="AQ77" s="807"/>
      <c r="AR77" s="807"/>
      <c r="AS77" s="807"/>
      <c r="AT77" s="807"/>
      <c r="AU77" s="807"/>
      <c r="AV77" s="807"/>
      <c r="AW77" s="808"/>
      <c r="AY77" s="17">
        <f>(AJ76+AV76)*149</f>
        <v>1775639.0779200001</v>
      </c>
      <c r="AZ77" s="17">
        <f>AZ76/2</f>
        <v>887820.16</v>
      </c>
      <c r="BA77" s="166">
        <f>AY77-AZ77</f>
        <v>887818.91792000004</v>
      </c>
      <c r="BC77" s="24">
        <f>AZ77-AY77</f>
        <v>-887818.91792000004</v>
      </c>
    </row>
    <row r="78" spans="1:55" ht="51.75">
      <c r="A78" s="746"/>
      <c r="B78" s="747"/>
      <c r="C78" s="235" t="e">
        <f>'расчет по услугам'!#REF!</f>
        <v>#REF!</v>
      </c>
      <c r="D78" s="224" t="s">
        <v>130</v>
      </c>
      <c r="E78" s="753" t="e">
        <f>'расчет по услугам'!#REF!</f>
        <v>#REF!</v>
      </c>
      <c r="F78" s="753"/>
      <c r="G78" s="306">
        <v>1</v>
      </c>
      <c r="H78" s="309" t="e">
        <f>F78*G78/#REF!</f>
        <v>#REF!</v>
      </c>
      <c r="I78" s="225">
        <v>81890</v>
      </c>
      <c r="J78" s="307"/>
      <c r="K78" s="280" t="e">
        <f>I78*H78</f>
        <v>#REF!</v>
      </c>
      <c r="L78" s="249"/>
      <c r="M78" s="274"/>
      <c r="Q78" s="167" t="s">
        <v>17</v>
      </c>
      <c r="R78" s="168" t="s">
        <v>53</v>
      </c>
      <c r="S78" s="169">
        <f t="shared" ref="S78:S85" si="55">1/2/149*T78</f>
        <v>0.16107382550335569</v>
      </c>
      <c r="T78" s="157">
        <v>48</v>
      </c>
      <c r="U78" s="158">
        <v>1</v>
      </c>
      <c r="V78" s="159">
        <f>S78*U78/T78</f>
        <v>3.3557046979865771E-3</v>
      </c>
      <c r="W78" s="160">
        <v>81890</v>
      </c>
      <c r="X78" s="30"/>
      <c r="Y78" s="46">
        <f>W78*V78</f>
        <v>274.79865771812081</v>
      </c>
      <c r="AA78" s="41">
        <v>1</v>
      </c>
      <c r="AB78" s="167" t="s">
        <v>17</v>
      </c>
      <c r="AC78" s="168" t="s">
        <v>53</v>
      </c>
      <c r="AD78" s="169">
        <f t="shared" ref="AD78:AD85" si="56">1/2/149*AE78</f>
        <v>0.33892617449664431</v>
      </c>
      <c r="AE78" s="157">
        <v>101</v>
      </c>
      <c r="AF78" s="158">
        <v>1</v>
      </c>
      <c r="AG78" s="170">
        <f>AD78*AF78/AE78</f>
        <v>3.3557046979865771E-3</v>
      </c>
      <c r="AH78" s="160">
        <v>81890</v>
      </c>
      <c r="AI78" s="30"/>
      <c r="AJ78" s="46">
        <f>AH78*AG78</f>
        <v>274.79865771812081</v>
      </c>
      <c r="AK78" s="27"/>
      <c r="AL78" s="153"/>
      <c r="AM78" s="41">
        <v>1</v>
      </c>
      <c r="AN78" s="167" t="s">
        <v>17</v>
      </c>
      <c r="AO78" s="168" t="s">
        <v>53</v>
      </c>
      <c r="AP78" s="169">
        <f>1/2</f>
        <v>0.5</v>
      </c>
      <c r="AQ78" s="157">
        <v>149</v>
      </c>
      <c r="AR78" s="158">
        <v>1</v>
      </c>
      <c r="AS78" s="170">
        <f>AP78*AR78/AQ78</f>
        <v>3.3557046979865771E-3</v>
      </c>
      <c r="AT78" s="160">
        <v>81890</v>
      </c>
      <c r="AU78" s="30"/>
      <c r="AV78" s="46">
        <f>AT78*AS78</f>
        <v>274.79865771812081</v>
      </c>
      <c r="AW78" s="27"/>
      <c r="AY78" s="17">
        <f t="shared" ref="AY78:AY86" si="57">AJ78*149</f>
        <v>40945</v>
      </c>
      <c r="AZ78" s="24">
        <f>AZ77-BA76</f>
        <v>0.62104000011458993</v>
      </c>
      <c r="BA78" s="5">
        <f>AP78*AT78</f>
        <v>40945</v>
      </c>
    </row>
    <row r="79" spans="1:55" ht="15.75">
      <c r="A79" s="746"/>
      <c r="B79" s="747"/>
      <c r="C79" s="235" t="e">
        <f>'расчет по услугам'!#REF!</f>
        <v>#REF!</v>
      </c>
      <c r="D79" s="224" t="s">
        <v>130</v>
      </c>
      <c r="E79" s="753" t="e">
        <f>'расчет по услугам'!#REF!</f>
        <v>#REF!</v>
      </c>
      <c r="F79" s="753"/>
      <c r="G79" s="191">
        <v>1</v>
      </c>
      <c r="H79" s="192" t="e">
        <f>F79*G79/#REF!</f>
        <v>#REF!</v>
      </c>
      <c r="I79" s="310">
        <v>150000</v>
      </c>
      <c r="J79" s="204"/>
      <c r="K79" s="195" t="e">
        <f t="shared" ref="K79:K86" si="58">I79*H79</f>
        <v>#REF!</v>
      </c>
      <c r="L79" s="205"/>
      <c r="M79" s="274"/>
      <c r="Q79" s="167" t="s">
        <v>18</v>
      </c>
      <c r="R79" s="168" t="s">
        <v>53</v>
      </c>
      <c r="S79" s="169">
        <f t="shared" si="55"/>
        <v>0.16107382550335569</v>
      </c>
      <c r="T79" s="157">
        <f>T78</f>
        <v>48</v>
      </c>
      <c r="U79" s="158">
        <v>1</v>
      </c>
      <c r="V79" s="159">
        <f>S79*U79/T79</f>
        <v>3.3557046979865771E-3</v>
      </c>
      <c r="W79" s="160">
        <v>150000</v>
      </c>
      <c r="X79" s="30"/>
      <c r="Y79" s="46">
        <f t="shared" ref="Y79:Y86" si="59">W79*V79</f>
        <v>503.35570469798654</v>
      </c>
      <c r="AA79" s="41">
        <v>2</v>
      </c>
      <c r="AB79" s="167" t="s">
        <v>18</v>
      </c>
      <c r="AC79" s="168" t="s">
        <v>53</v>
      </c>
      <c r="AD79" s="169">
        <f t="shared" si="56"/>
        <v>0.33892617449664431</v>
      </c>
      <c r="AE79" s="157">
        <f>AE78</f>
        <v>101</v>
      </c>
      <c r="AF79" s="158">
        <v>1</v>
      </c>
      <c r="AG79" s="170">
        <f>AD79*AF79/AE79</f>
        <v>3.3557046979865771E-3</v>
      </c>
      <c r="AH79" s="160">
        <v>150000</v>
      </c>
      <c r="AI79" s="30"/>
      <c r="AJ79" s="46">
        <f t="shared" ref="AJ79:AJ86" si="60">AH79*AG79</f>
        <v>503.35570469798654</v>
      </c>
      <c r="AK79" s="27"/>
      <c r="AL79" s="153"/>
      <c r="AM79" s="41">
        <v>2</v>
      </c>
      <c r="AN79" s="167" t="s">
        <v>18</v>
      </c>
      <c r="AO79" s="168" t="s">
        <v>53</v>
      </c>
      <c r="AP79" s="169">
        <f t="shared" ref="AP79:AP85" si="61">1/2</f>
        <v>0.5</v>
      </c>
      <c r="AQ79" s="157">
        <f>AQ78</f>
        <v>149</v>
      </c>
      <c r="AR79" s="158">
        <v>1</v>
      </c>
      <c r="AS79" s="170">
        <f>AP79*AR79/AQ79</f>
        <v>3.3557046979865771E-3</v>
      </c>
      <c r="AT79" s="160">
        <v>150000</v>
      </c>
      <c r="AU79" s="30"/>
      <c r="AV79" s="46">
        <f t="shared" ref="AV79:AV86" si="62">AT79*AS79</f>
        <v>503.35570469798654</v>
      </c>
      <c r="AW79" s="27"/>
      <c r="AY79" s="171">
        <f t="shared" si="57"/>
        <v>75000</v>
      </c>
      <c r="AZ79" s="172">
        <f>AY79+BA79</f>
        <v>150000</v>
      </c>
      <c r="BA79" s="173">
        <f>AP79*AT79</f>
        <v>75000</v>
      </c>
      <c r="BB79" s="5" t="s">
        <v>230</v>
      </c>
    </row>
    <row r="80" spans="1:55" ht="15.75">
      <c r="A80" s="746"/>
      <c r="B80" s="747"/>
      <c r="C80" s="235" t="e">
        <f>'расчет по услугам'!#REF!</f>
        <v>#REF!</v>
      </c>
      <c r="D80" s="224" t="s">
        <v>130</v>
      </c>
      <c r="E80" s="753" t="e">
        <f>'расчет по услугам'!#REF!</f>
        <v>#REF!</v>
      </c>
      <c r="F80" s="753"/>
      <c r="G80" s="191">
        <v>1</v>
      </c>
      <c r="H80" s="192" t="e">
        <f>F80*G80/#REF!</f>
        <v>#REF!</v>
      </c>
      <c r="I80" s="257">
        <v>30000</v>
      </c>
      <c r="J80" s="204"/>
      <c r="K80" s="195" t="e">
        <f t="shared" si="58"/>
        <v>#REF!</v>
      </c>
      <c r="L80" s="205"/>
      <c r="M80" s="274"/>
      <c r="Q80" s="167" t="s">
        <v>120</v>
      </c>
      <c r="R80" s="168" t="s">
        <v>53</v>
      </c>
      <c r="S80" s="169">
        <f t="shared" si="55"/>
        <v>0.16107382550335569</v>
      </c>
      <c r="T80" s="157">
        <f t="shared" ref="T80:T86" si="63">T79</f>
        <v>48</v>
      </c>
      <c r="U80" s="158">
        <v>1</v>
      </c>
      <c r="V80" s="159">
        <f t="shared" ref="V80:V86" si="64">S80*U80/T80</f>
        <v>3.3557046979865771E-3</v>
      </c>
      <c r="W80" s="174">
        <v>30000</v>
      </c>
      <c r="X80" s="30"/>
      <c r="Y80" s="46">
        <f t="shared" si="59"/>
        <v>100.67114093959731</v>
      </c>
      <c r="AA80" s="41">
        <v>3</v>
      </c>
      <c r="AB80" s="167" t="s">
        <v>120</v>
      </c>
      <c r="AC80" s="168" t="s">
        <v>53</v>
      </c>
      <c r="AD80" s="169">
        <f t="shared" si="56"/>
        <v>0.33892617449664431</v>
      </c>
      <c r="AE80" s="157">
        <f t="shared" ref="AE80:AE86" si="65">AE79</f>
        <v>101</v>
      </c>
      <c r="AF80" s="158">
        <v>1</v>
      </c>
      <c r="AG80" s="170">
        <f t="shared" ref="AG80:AG86" si="66">AD80*AF80/AE80</f>
        <v>3.3557046979865771E-3</v>
      </c>
      <c r="AH80" s="174">
        <v>30000</v>
      </c>
      <c r="AI80" s="30"/>
      <c r="AJ80" s="46">
        <f t="shared" si="60"/>
        <v>100.67114093959731</v>
      </c>
      <c r="AK80" s="27"/>
      <c r="AL80" s="153"/>
      <c r="AM80" s="41">
        <v>3</v>
      </c>
      <c r="AN80" s="167" t="s">
        <v>120</v>
      </c>
      <c r="AO80" s="168" t="s">
        <v>53</v>
      </c>
      <c r="AP80" s="169">
        <f t="shared" si="61"/>
        <v>0.5</v>
      </c>
      <c r="AQ80" s="157">
        <f t="shared" ref="AQ80:AQ86" si="67">AQ79</f>
        <v>149</v>
      </c>
      <c r="AR80" s="158">
        <v>1</v>
      </c>
      <c r="AS80" s="170">
        <f t="shared" ref="AS80:AS86" si="68">AP80*AR80/AQ80</f>
        <v>3.3557046979865771E-3</v>
      </c>
      <c r="AT80" s="174">
        <v>30000</v>
      </c>
      <c r="AU80" s="30"/>
      <c r="AV80" s="46">
        <f t="shared" si="62"/>
        <v>100.67114093959731</v>
      </c>
      <c r="AW80" s="27"/>
      <c r="AY80" s="17">
        <f t="shared" si="57"/>
        <v>14999.999999999998</v>
      </c>
      <c r="AZ80" s="172">
        <f t="shared" ref="AZ80:AZ85" si="69">AY80+BA80</f>
        <v>30000</v>
      </c>
      <c r="BA80" s="5">
        <f t="shared" ref="BA80:BA86" si="70">AP80*AT80</f>
        <v>15000</v>
      </c>
    </row>
    <row r="81" spans="1:54" ht="15.75">
      <c r="A81" s="746"/>
      <c r="B81" s="747"/>
      <c r="C81" s="235" t="e">
        <f>'расчет по услугам'!#REF!</f>
        <v>#REF!</v>
      </c>
      <c r="D81" s="224" t="s">
        <v>130</v>
      </c>
      <c r="E81" s="753" t="e">
        <f>'расчет по услугам'!#REF!</f>
        <v>#REF!</v>
      </c>
      <c r="F81" s="753"/>
      <c r="G81" s="191"/>
      <c r="H81" s="192"/>
      <c r="I81" s="257"/>
      <c r="J81" s="204"/>
      <c r="K81" s="195"/>
      <c r="L81" s="205"/>
      <c r="M81" s="274"/>
      <c r="Q81" s="258"/>
      <c r="R81" s="259"/>
      <c r="S81" s="260"/>
      <c r="T81" s="228"/>
      <c r="U81" s="191"/>
      <c r="V81" s="245"/>
      <c r="W81" s="257"/>
      <c r="X81" s="204"/>
      <c r="Y81" s="195"/>
      <c r="AA81" s="261"/>
      <c r="AB81" s="258"/>
      <c r="AC81" s="259"/>
      <c r="AD81" s="260"/>
      <c r="AE81" s="228"/>
      <c r="AF81" s="191"/>
      <c r="AG81" s="192"/>
      <c r="AH81" s="257"/>
      <c r="AI81" s="204"/>
      <c r="AJ81" s="195"/>
      <c r="AK81" s="205"/>
      <c r="AL81" s="197"/>
      <c r="AM81" s="261"/>
      <c r="AN81" s="258"/>
      <c r="AO81" s="259"/>
      <c r="AP81" s="260"/>
      <c r="AQ81" s="228"/>
      <c r="AR81" s="191"/>
      <c r="AS81" s="192"/>
      <c r="AT81" s="257"/>
      <c r="AU81" s="204"/>
      <c r="AV81" s="195"/>
      <c r="AW81" s="205"/>
      <c r="AY81" s="17"/>
      <c r="AZ81" s="232"/>
    </row>
    <row r="82" spans="1:54" ht="15.75">
      <c r="A82" s="746"/>
      <c r="B82" s="747"/>
      <c r="C82" s="235" t="e">
        <f>'расчет по услугам'!#REF!</f>
        <v>#REF!</v>
      </c>
      <c r="D82" s="224" t="s">
        <v>130</v>
      </c>
      <c r="E82" s="753" t="e">
        <f>'расчет по услугам'!#REF!</f>
        <v>#REF!</v>
      </c>
      <c r="F82" s="753"/>
      <c r="G82" s="191"/>
      <c r="H82" s="192"/>
      <c r="I82" s="257"/>
      <c r="J82" s="204"/>
      <c r="K82" s="195"/>
      <c r="L82" s="205"/>
      <c r="M82" s="274"/>
      <c r="Q82" s="258"/>
      <c r="R82" s="259"/>
      <c r="S82" s="260"/>
      <c r="T82" s="228"/>
      <c r="U82" s="191"/>
      <c r="V82" s="245"/>
      <c r="W82" s="257"/>
      <c r="X82" s="204"/>
      <c r="Y82" s="195"/>
      <c r="AA82" s="261"/>
      <c r="AB82" s="258"/>
      <c r="AC82" s="259"/>
      <c r="AD82" s="260"/>
      <c r="AE82" s="228"/>
      <c r="AF82" s="191"/>
      <c r="AG82" s="192"/>
      <c r="AH82" s="257"/>
      <c r="AI82" s="204"/>
      <c r="AJ82" s="195"/>
      <c r="AK82" s="205"/>
      <c r="AL82" s="197"/>
      <c r="AM82" s="261"/>
      <c r="AN82" s="258"/>
      <c r="AO82" s="259"/>
      <c r="AP82" s="260"/>
      <c r="AQ82" s="228"/>
      <c r="AR82" s="191"/>
      <c r="AS82" s="192"/>
      <c r="AT82" s="257"/>
      <c r="AU82" s="204"/>
      <c r="AV82" s="195"/>
      <c r="AW82" s="205"/>
      <c r="AY82" s="17"/>
      <c r="AZ82" s="232"/>
    </row>
    <row r="83" spans="1:54" ht="15.75">
      <c r="A83" s="746"/>
      <c r="B83" s="747"/>
      <c r="C83" s="235" t="e">
        <f>'расчет по услугам'!#REF!</f>
        <v>#REF!</v>
      </c>
      <c r="D83" s="224" t="s">
        <v>130</v>
      </c>
      <c r="E83" s="753" t="e">
        <f>'расчет по услугам'!#REF!</f>
        <v>#REF!</v>
      </c>
      <c r="F83" s="753"/>
      <c r="G83" s="191">
        <v>1</v>
      </c>
      <c r="H83" s="192" t="e">
        <f>F83*G83/#REF!</f>
        <v>#REF!</v>
      </c>
      <c r="I83" s="310">
        <v>300000</v>
      </c>
      <c r="J83" s="204"/>
      <c r="K83" s="195" t="e">
        <f t="shared" si="58"/>
        <v>#REF!</v>
      </c>
      <c r="L83" s="205"/>
      <c r="M83" s="274"/>
      <c r="Q83" s="167" t="s">
        <v>93</v>
      </c>
      <c r="R83" s="168" t="s">
        <v>53</v>
      </c>
      <c r="S83" s="169">
        <f t="shared" si="55"/>
        <v>0.16107382550335569</v>
      </c>
      <c r="T83" s="157">
        <f>T80</f>
        <v>48</v>
      </c>
      <c r="U83" s="158">
        <v>1</v>
      </c>
      <c r="V83" s="159">
        <f t="shared" si="64"/>
        <v>3.3557046979865771E-3</v>
      </c>
      <c r="W83" s="160">
        <v>300000</v>
      </c>
      <c r="X83" s="30"/>
      <c r="Y83" s="46">
        <f t="shared" si="59"/>
        <v>1006.7114093959731</v>
      </c>
      <c r="AA83" s="41">
        <v>4</v>
      </c>
      <c r="AB83" s="167" t="s">
        <v>93</v>
      </c>
      <c r="AC83" s="168" t="s">
        <v>53</v>
      </c>
      <c r="AD83" s="169">
        <f t="shared" si="56"/>
        <v>0.33892617449664431</v>
      </c>
      <c r="AE83" s="157">
        <f>AE80</f>
        <v>101</v>
      </c>
      <c r="AF83" s="158">
        <v>1</v>
      </c>
      <c r="AG83" s="170">
        <f t="shared" si="66"/>
        <v>3.3557046979865771E-3</v>
      </c>
      <c r="AH83" s="160">
        <v>300000</v>
      </c>
      <c r="AI83" s="30"/>
      <c r="AJ83" s="46">
        <f t="shared" si="60"/>
        <v>1006.7114093959731</v>
      </c>
      <c r="AK83" s="27"/>
      <c r="AL83" s="153"/>
      <c r="AM83" s="41">
        <v>4</v>
      </c>
      <c r="AN83" s="167" t="s">
        <v>93</v>
      </c>
      <c r="AO83" s="168" t="s">
        <v>53</v>
      </c>
      <c r="AP83" s="169">
        <f t="shared" si="61"/>
        <v>0.5</v>
      </c>
      <c r="AQ83" s="157">
        <f>AQ80</f>
        <v>149</v>
      </c>
      <c r="AR83" s="158">
        <v>1</v>
      </c>
      <c r="AS83" s="170">
        <f t="shared" si="68"/>
        <v>3.3557046979865771E-3</v>
      </c>
      <c r="AT83" s="160">
        <v>300000</v>
      </c>
      <c r="AU83" s="30"/>
      <c r="AV83" s="46">
        <f t="shared" si="62"/>
        <v>1006.7114093959731</v>
      </c>
      <c r="AW83" s="27"/>
      <c r="AY83" s="17">
        <f t="shared" si="57"/>
        <v>150000</v>
      </c>
      <c r="AZ83" s="172">
        <f t="shared" si="69"/>
        <v>300000</v>
      </c>
      <c r="BA83" s="5">
        <f t="shared" si="70"/>
        <v>150000</v>
      </c>
    </row>
    <row r="84" spans="1:54" ht="15.75">
      <c r="A84" s="746"/>
      <c r="B84" s="747"/>
      <c r="C84" s="235" t="e">
        <f>'расчет по услугам'!#REF!</f>
        <v>#REF!</v>
      </c>
      <c r="D84" s="224" t="s">
        <v>130</v>
      </c>
      <c r="E84" s="753" t="e">
        <f>'расчет по услугам'!#REF!</f>
        <v>#REF!</v>
      </c>
      <c r="F84" s="753"/>
      <c r="G84" s="191">
        <v>1</v>
      </c>
      <c r="H84" s="192" t="e">
        <f>F84*G84/#REF!</f>
        <v>#REF!</v>
      </c>
      <c r="I84" s="310">
        <v>32600</v>
      </c>
      <c r="J84" s="204"/>
      <c r="K84" s="195" t="e">
        <f t="shared" si="58"/>
        <v>#REF!</v>
      </c>
      <c r="L84" s="205"/>
      <c r="M84" s="274"/>
      <c r="Q84" s="167" t="s">
        <v>19</v>
      </c>
      <c r="R84" s="168" t="s">
        <v>53</v>
      </c>
      <c r="S84" s="169">
        <f t="shared" si="55"/>
        <v>0.16107382550335569</v>
      </c>
      <c r="T84" s="157">
        <v>48</v>
      </c>
      <c r="U84" s="158">
        <v>1</v>
      </c>
      <c r="V84" s="159">
        <f t="shared" si="64"/>
        <v>3.3557046979865771E-3</v>
      </c>
      <c r="W84" s="160">
        <v>32600</v>
      </c>
      <c r="X84" s="30"/>
      <c r="Y84" s="46">
        <f t="shared" si="59"/>
        <v>109.39597315436241</v>
      </c>
      <c r="AA84" s="41">
        <v>5</v>
      </c>
      <c r="AB84" s="167" t="s">
        <v>19</v>
      </c>
      <c r="AC84" s="168" t="s">
        <v>53</v>
      </c>
      <c r="AD84" s="169">
        <f t="shared" si="56"/>
        <v>0.33892617449664431</v>
      </c>
      <c r="AE84" s="157">
        <v>101</v>
      </c>
      <c r="AF84" s="158">
        <v>1</v>
      </c>
      <c r="AG84" s="170">
        <f t="shared" si="66"/>
        <v>3.3557046979865771E-3</v>
      </c>
      <c r="AH84" s="160">
        <v>32600</v>
      </c>
      <c r="AI84" s="30"/>
      <c r="AJ84" s="46">
        <f t="shared" si="60"/>
        <v>109.39597315436241</v>
      </c>
      <c r="AK84" s="27"/>
      <c r="AL84" s="153"/>
      <c r="AM84" s="41">
        <v>5</v>
      </c>
      <c r="AN84" s="167" t="s">
        <v>19</v>
      </c>
      <c r="AO84" s="168" t="s">
        <v>53</v>
      </c>
      <c r="AP84" s="169">
        <f t="shared" si="61"/>
        <v>0.5</v>
      </c>
      <c r="AQ84" s="157">
        <f t="shared" si="67"/>
        <v>149</v>
      </c>
      <c r="AR84" s="158">
        <v>1</v>
      </c>
      <c r="AS84" s="170">
        <f t="shared" si="68"/>
        <v>3.3557046979865771E-3</v>
      </c>
      <c r="AT84" s="160">
        <v>32600</v>
      </c>
      <c r="AU84" s="30"/>
      <c r="AV84" s="46">
        <f t="shared" si="62"/>
        <v>109.39597315436241</v>
      </c>
      <c r="AW84" s="27"/>
      <c r="AY84" s="17">
        <f t="shared" si="57"/>
        <v>16299.999999999998</v>
      </c>
      <c r="AZ84" s="172">
        <f t="shared" si="69"/>
        <v>32600</v>
      </c>
      <c r="BA84" s="5">
        <f t="shared" si="70"/>
        <v>16300</v>
      </c>
    </row>
    <row r="85" spans="1:54" ht="15.75">
      <c r="A85" s="746"/>
      <c r="B85" s="747"/>
      <c r="C85" s="235" t="e">
        <f>'расчет по услугам'!#REF!</f>
        <v>#REF!</v>
      </c>
      <c r="D85" s="224" t="s">
        <v>130</v>
      </c>
      <c r="E85" s="753" t="e">
        <f>'расчет по услугам'!#REF!</f>
        <v>#REF!</v>
      </c>
      <c r="F85" s="753"/>
      <c r="G85" s="191">
        <v>1</v>
      </c>
      <c r="H85" s="192" t="e">
        <f>F85*G85/#REF!</f>
        <v>#REF!</v>
      </c>
      <c r="I85" s="310">
        <v>50000</v>
      </c>
      <c r="J85" s="204"/>
      <c r="K85" s="195" t="e">
        <f t="shared" si="58"/>
        <v>#REF!</v>
      </c>
      <c r="L85" s="205"/>
      <c r="M85" s="274"/>
      <c r="Q85" s="167" t="s">
        <v>113</v>
      </c>
      <c r="R85" s="168" t="s">
        <v>53</v>
      </c>
      <c r="S85" s="169">
        <f t="shared" si="55"/>
        <v>0.16107382550335569</v>
      </c>
      <c r="T85" s="157">
        <f t="shared" si="63"/>
        <v>48</v>
      </c>
      <c r="U85" s="158">
        <v>1</v>
      </c>
      <c r="V85" s="159">
        <f t="shared" si="64"/>
        <v>3.3557046979865771E-3</v>
      </c>
      <c r="W85" s="160">
        <v>50000</v>
      </c>
      <c r="X85" s="30"/>
      <c r="Y85" s="46">
        <f t="shared" si="59"/>
        <v>167.78523489932886</v>
      </c>
      <c r="AA85" s="41">
        <v>6</v>
      </c>
      <c r="AB85" s="167" t="s">
        <v>113</v>
      </c>
      <c r="AC85" s="168" t="s">
        <v>53</v>
      </c>
      <c r="AD85" s="169">
        <f t="shared" si="56"/>
        <v>0.33892617449664431</v>
      </c>
      <c r="AE85" s="157">
        <f t="shared" si="65"/>
        <v>101</v>
      </c>
      <c r="AF85" s="158">
        <v>1</v>
      </c>
      <c r="AG85" s="170">
        <f t="shared" si="66"/>
        <v>3.3557046979865771E-3</v>
      </c>
      <c r="AH85" s="160">
        <v>50000</v>
      </c>
      <c r="AI85" s="30"/>
      <c r="AJ85" s="46">
        <f t="shared" si="60"/>
        <v>167.78523489932886</v>
      </c>
      <c r="AK85" s="27"/>
      <c r="AL85" s="153"/>
      <c r="AM85" s="41">
        <v>6</v>
      </c>
      <c r="AN85" s="167" t="s">
        <v>113</v>
      </c>
      <c r="AO85" s="168" t="s">
        <v>53</v>
      </c>
      <c r="AP85" s="169">
        <f t="shared" si="61"/>
        <v>0.5</v>
      </c>
      <c r="AQ85" s="157">
        <f t="shared" si="67"/>
        <v>149</v>
      </c>
      <c r="AR85" s="158">
        <v>1</v>
      </c>
      <c r="AS85" s="170">
        <f t="shared" si="68"/>
        <v>3.3557046979865771E-3</v>
      </c>
      <c r="AT85" s="160">
        <v>50000</v>
      </c>
      <c r="AU85" s="30"/>
      <c r="AV85" s="46">
        <f t="shared" si="62"/>
        <v>167.78523489932886</v>
      </c>
      <c r="AW85" s="27"/>
      <c r="AY85" s="17">
        <f t="shared" si="57"/>
        <v>25000</v>
      </c>
      <c r="AZ85" s="172">
        <f t="shared" si="69"/>
        <v>50000</v>
      </c>
      <c r="BA85" s="5">
        <f t="shared" si="70"/>
        <v>25000</v>
      </c>
    </row>
    <row r="86" spans="1:54" ht="77.25">
      <c r="A86" s="746"/>
      <c r="B86" s="747"/>
      <c r="C86" s="235" t="e">
        <f>'расчет по услугам'!#REF!</f>
        <v>#REF!</v>
      </c>
      <c r="D86" s="224" t="s">
        <v>130</v>
      </c>
      <c r="E86" s="753" t="e">
        <f>'расчет по услугам'!#REF!</f>
        <v>#REF!</v>
      </c>
      <c r="F86" s="753"/>
      <c r="G86" s="191">
        <v>1</v>
      </c>
      <c r="H86" s="192" t="e">
        <f>F86*G86/#REF!</f>
        <v>#REF!</v>
      </c>
      <c r="I86" s="310">
        <f>(40000+20000+20000+60000)/4</f>
        <v>35000</v>
      </c>
      <c r="J86" s="204"/>
      <c r="K86" s="195" t="e">
        <f t="shared" si="58"/>
        <v>#REF!</v>
      </c>
      <c r="L86" s="205"/>
      <c r="M86" s="274"/>
      <c r="Q86" s="167" t="s">
        <v>112</v>
      </c>
      <c r="R86" s="168" t="s">
        <v>53</v>
      </c>
      <c r="S86" s="169">
        <f>4/2/149*T86</f>
        <v>0.64429530201342278</v>
      </c>
      <c r="T86" s="157">
        <f t="shared" si="63"/>
        <v>48</v>
      </c>
      <c r="U86" s="158">
        <v>1</v>
      </c>
      <c r="V86" s="159">
        <f t="shared" si="64"/>
        <v>1.3422818791946308E-2</v>
      </c>
      <c r="W86" s="160">
        <f>(40000+20000+20000+60000)/4</f>
        <v>35000</v>
      </c>
      <c r="X86" s="30"/>
      <c r="Y86" s="46">
        <f t="shared" si="59"/>
        <v>469.79865771812081</v>
      </c>
      <c r="AA86" s="41">
        <v>7</v>
      </c>
      <c r="AB86" s="167" t="s">
        <v>112</v>
      </c>
      <c r="AC86" s="168" t="s">
        <v>53</v>
      </c>
      <c r="AD86" s="169">
        <f>4/2/149*AE86</f>
        <v>1.3557046979865772</v>
      </c>
      <c r="AE86" s="157">
        <f t="shared" si="65"/>
        <v>101</v>
      </c>
      <c r="AF86" s="158">
        <v>1</v>
      </c>
      <c r="AG86" s="170">
        <f t="shared" si="66"/>
        <v>1.3422818791946308E-2</v>
      </c>
      <c r="AH86" s="160">
        <f>(40000+20000+20000+60000)/4</f>
        <v>35000</v>
      </c>
      <c r="AI86" s="30"/>
      <c r="AJ86" s="46">
        <f t="shared" si="60"/>
        <v>469.79865771812081</v>
      </c>
      <c r="AK86" s="27"/>
      <c r="AL86" s="153"/>
      <c r="AM86" s="41">
        <v>7</v>
      </c>
      <c r="AN86" s="167" t="s">
        <v>112</v>
      </c>
      <c r="AO86" s="168" t="s">
        <v>53</v>
      </c>
      <c r="AP86" s="169">
        <f>4/2</f>
        <v>2</v>
      </c>
      <c r="AQ86" s="157">
        <f t="shared" si="67"/>
        <v>149</v>
      </c>
      <c r="AR86" s="158">
        <v>1</v>
      </c>
      <c r="AS86" s="170">
        <f t="shared" si="68"/>
        <v>1.3422818791946308E-2</v>
      </c>
      <c r="AT86" s="160">
        <f>(40000+20000+20000+60000)/4</f>
        <v>35000</v>
      </c>
      <c r="AU86" s="30"/>
      <c r="AV86" s="46">
        <f t="shared" si="62"/>
        <v>469.79865771812081</v>
      </c>
      <c r="AW86" s="27"/>
      <c r="AY86" s="17">
        <f t="shared" si="57"/>
        <v>70000</v>
      </c>
      <c r="AZ86" s="172">
        <f>AY86+BA86</f>
        <v>140000</v>
      </c>
      <c r="BA86" s="5">
        <f t="shared" si="70"/>
        <v>70000</v>
      </c>
      <c r="BB86" s="24">
        <f>BB87-AY79-BA79</f>
        <v>634490</v>
      </c>
    </row>
    <row r="87" spans="1:54" ht="15.75" hidden="1" customHeight="1" thickBot="1">
      <c r="A87" s="746"/>
      <c r="B87" s="747"/>
      <c r="C87" s="810"/>
      <c r="D87" s="810"/>
      <c r="E87" s="810"/>
      <c r="F87" s="810"/>
      <c r="G87" s="810"/>
      <c r="H87" s="810"/>
      <c r="I87" s="810"/>
      <c r="J87" s="810"/>
      <c r="K87" s="246" t="e">
        <f>SUM(K78:K86)</f>
        <v>#REF!</v>
      </c>
      <c r="L87" s="205"/>
      <c r="M87" s="275"/>
      <c r="Q87" s="68"/>
      <c r="R87" s="68"/>
      <c r="S87" s="68"/>
      <c r="T87" s="68"/>
      <c r="U87" s="68"/>
      <c r="V87" s="68"/>
      <c r="W87" s="68"/>
      <c r="X87" s="68"/>
      <c r="Y87" s="175">
        <f>SUM(Y78:Y86)</f>
        <v>2632.5167785234898</v>
      </c>
      <c r="AA87" s="811" t="s">
        <v>27</v>
      </c>
      <c r="AB87" s="812"/>
      <c r="AC87" s="812"/>
      <c r="AD87" s="812"/>
      <c r="AE87" s="812"/>
      <c r="AF87" s="812"/>
      <c r="AG87" s="812"/>
      <c r="AH87" s="812"/>
      <c r="AI87" s="813"/>
      <c r="AJ87" s="175">
        <f>SUM(AJ78:AJ86)</f>
        <v>2632.5167785234898</v>
      </c>
      <c r="AK87" s="27"/>
      <c r="AL87" s="162"/>
      <c r="AM87" s="811" t="s">
        <v>27</v>
      </c>
      <c r="AN87" s="812"/>
      <c r="AO87" s="812"/>
      <c r="AP87" s="812"/>
      <c r="AQ87" s="812"/>
      <c r="AR87" s="812"/>
      <c r="AS87" s="812"/>
      <c r="AT87" s="812"/>
      <c r="AU87" s="813"/>
      <c r="AV87" s="175">
        <f>SUM(AV78:AV86)</f>
        <v>2632.5167785234898</v>
      </c>
      <c r="AW87" s="27"/>
      <c r="AY87" s="175">
        <f>SUM(AY78:AY86)</f>
        <v>392245</v>
      </c>
      <c r="AZ87" s="5">
        <f>(634490+150000)/2</f>
        <v>392245</v>
      </c>
      <c r="BA87" s="176">
        <f>SUM(BA78:BA86)</f>
        <v>392245</v>
      </c>
      <c r="BB87" s="95">
        <f>AY87+BA87</f>
        <v>784490</v>
      </c>
    </row>
    <row r="88" spans="1:54" ht="15" hidden="1" customHeight="1">
      <c r="A88" s="746"/>
      <c r="B88" s="747"/>
      <c r="C88" s="814" t="s">
        <v>67</v>
      </c>
      <c r="D88" s="814"/>
      <c r="E88" s="814"/>
      <c r="F88" s="814"/>
      <c r="G88" s="814"/>
      <c r="H88" s="814"/>
      <c r="I88" s="814"/>
      <c r="J88" s="814"/>
      <c r="K88" s="814"/>
      <c r="L88" s="814"/>
      <c r="M88" s="152"/>
      <c r="Q88" s="68"/>
      <c r="R88" s="68"/>
      <c r="S88" s="68"/>
      <c r="T88" s="68"/>
      <c r="U88" s="68"/>
      <c r="V88" s="68"/>
      <c r="W88" s="68"/>
      <c r="X88" s="68"/>
      <c r="Y88" s="68"/>
      <c r="AA88" s="806" t="s">
        <v>67</v>
      </c>
      <c r="AB88" s="807"/>
      <c r="AC88" s="807"/>
      <c r="AD88" s="807"/>
      <c r="AE88" s="807"/>
      <c r="AF88" s="807"/>
      <c r="AG88" s="807"/>
      <c r="AH88" s="807"/>
      <c r="AI88" s="807"/>
      <c r="AJ88" s="807"/>
      <c r="AK88" s="808"/>
      <c r="AL88" s="152"/>
      <c r="AM88" s="806" t="s">
        <v>67</v>
      </c>
      <c r="AN88" s="807"/>
      <c r="AO88" s="807"/>
      <c r="AP88" s="807"/>
      <c r="AQ88" s="807"/>
      <c r="AR88" s="807"/>
      <c r="AS88" s="807"/>
      <c r="AT88" s="807"/>
      <c r="AU88" s="807"/>
      <c r="AV88" s="807"/>
      <c r="AW88" s="808"/>
      <c r="AZ88" s="38">
        <f>AZ87-AY87</f>
        <v>0</v>
      </c>
      <c r="BA88" s="38"/>
      <c r="BB88" s="38"/>
    </row>
    <row r="89" spans="1:54" ht="15" hidden="1" customHeight="1">
      <c r="A89" s="746"/>
      <c r="B89" s="747"/>
      <c r="C89" s="261"/>
      <c r="D89" s="261"/>
      <c r="E89" s="261"/>
      <c r="F89" s="311"/>
      <c r="G89" s="312">
        <v>300</v>
      </c>
      <c r="H89" s="313" t="e">
        <f>F89*G89/#REF!</f>
        <v>#REF!</v>
      </c>
      <c r="I89" s="314"/>
      <c r="J89" s="204"/>
      <c r="K89" s="195" t="e">
        <f>I89*H89</f>
        <v>#REF!</v>
      </c>
      <c r="L89" s="205"/>
      <c r="M89" s="274"/>
      <c r="Q89" s="41"/>
      <c r="R89" s="41"/>
      <c r="S89" s="177"/>
      <c r="T89" s="43">
        <f t="shared" ref="T89:T91" si="71">300*245</f>
        <v>73500</v>
      </c>
      <c r="U89" s="44">
        <v>300</v>
      </c>
      <c r="V89" s="45">
        <f t="shared" ref="V89:V91" si="72">S89*U89/T89</f>
        <v>0</v>
      </c>
      <c r="W89" s="178"/>
      <c r="X89" s="30"/>
      <c r="Y89" s="46">
        <f>W89*V89</f>
        <v>0</v>
      </c>
      <c r="AA89" s="41"/>
      <c r="AB89" s="41"/>
      <c r="AC89" s="41"/>
      <c r="AD89" s="177"/>
      <c r="AE89" s="43">
        <f t="shared" ref="AE89:AE91" si="73">300*245</f>
        <v>73500</v>
      </c>
      <c r="AF89" s="44">
        <v>300</v>
      </c>
      <c r="AG89" s="45">
        <f t="shared" ref="AG89:AG91" si="74">AD89*AF89/AE89</f>
        <v>0</v>
      </c>
      <c r="AH89" s="178"/>
      <c r="AI89" s="30"/>
      <c r="AJ89" s="46">
        <f>AH89*AG89</f>
        <v>0</v>
      </c>
      <c r="AK89" s="27"/>
      <c r="AL89" s="153"/>
      <c r="AM89" s="41"/>
      <c r="AN89" s="41"/>
      <c r="AO89" s="41"/>
      <c r="AP89" s="177"/>
      <c r="AQ89" s="43">
        <f t="shared" ref="AQ89:AQ91" si="75">300*245</f>
        <v>73500</v>
      </c>
      <c r="AR89" s="44">
        <v>300</v>
      </c>
      <c r="AS89" s="45">
        <f t="shared" ref="AS89:AS91" si="76">AP89*AR89/AQ89</f>
        <v>0</v>
      </c>
      <c r="AT89" s="178"/>
      <c r="AU89" s="30"/>
      <c r="AV89" s="46">
        <f>AT89*AS89</f>
        <v>0</v>
      </c>
      <c r="AW89" s="27"/>
      <c r="AY89" s="17">
        <f t="shared" ref="AY89:AY99" si="77">AJ89*443052</f>
        <v>0</v>
      </c>
    </row>
    <row r="90" spans="1:54" ht="15" hidden="1" customHeight="1">
      <c r="A90" s="746"/>
      <c r="B90" s="747"/>
      <c r="C90" s="261"/>
      <c r="D90" s="261"/>
      <c r="E90" s="261"/>
      <c r="F90" s="311"/>
      <c r="G90" s="312">
        <v>300</v>
      </c>
      <c r="H90" s="313" t="e">
        <f>F90*G90/#REF!</f>
        <v>#REF!</v>
      </c>
      <c r="I90" s="315"/>
      <c r="J90" s="204"/>
      <c r="K90" s="195" t="e">
        <f>I90*H90</f>
        <v>#REF!</v>
      </c>
      <c r="L90" s="205"/>
      <c r="M90" s="274"/>
      <c r="Q90" s="41"/>
      <c r="R90" s="41"/>
      <c r="S90" s="177"/>
      <c r="T90" s="43">
        <f t="shared" si="71"/>
        <v>73500</v>
      </c>
      <c r="U90" s="44">
        <v>300</v>
      </c>
      <c r="V90" s="45">
        <f t="shared" si="72"/>
        <v>0</v>
      </c>
      <c r="W90" s="179"/>
      <c r="X90" s="30"/>
      <c r="Y90" s="46">
        <f>W90*V90</f>
        <v>0</v>
      </c>
      <c r="AA90" s="41"/>
      <c r="AB90" s="41"/>
      <c r="AC90" s="41"/>
      <c r="AD90" s="177"/>
      <c r="AE90" s="43">
        <f t="shared" si="73"/>
        <v>73500</v>
      </c>
      <c r="AF90" s="44">
        <v>300</v>
      </c>
      <c r="AG90" s="45">
        <f t="shared" si="74"/>
        <v>0</v>
      </c>
      <c r="AH90" s="179"/>
      <c r="AI90" s="30"/>
      <c r="AJ90" s="46">
        <f>AH90*AG90</f>
        <v>0</v>
      </c>
      <c r="AK90" s="27"/>
      <c r="AL90" s="153"/>
      <c r="AM90" s="41"/>
      <c r="AN90" s="41"/>
      <c r="AO90" s="41"/>
      <c r="AP90" s="177"/>
      <c r="AQ90" s="43">
        <f t="shared" si="75"/>
        <v>73500</v>
      </c>
      <c r="AR90" s="44">
        <v>300</v>
      </c>
      <c r="AS90" s="45">
        <f t="shared" si="76"/>
        <v>0</v>
      </c>
      <c r="AT90" s="179"/>
      <c r="AU90" s="30"/>
      <c r="AV90" s="46">
        <f>AT90*AS90</f>
        <v>0</v>
      </c>
      <c r="AW90" s="27"/>
      <c r="AY90" s="17">
        <f t="shared" si="77"/>
        <v>0</v>
      </c>
    </row>
    <row r="91" spans="1:54" ht="15" hidden="1" customHeight="1">
      <c r="A91" s="746"/>
      <c r="B91" s="747"/>
      <c r="C91" s="261"/>
      <c r="D91" s="261"/>
      <c r="E91" s="261"/>
      <c r="F91" s="311"/>
      <c r="G91" s="312">
        <v>300</v>
      </c>
      <c r="H91" s="313" t="e">
        <f>F91*G91/#REF!</f>
        <v>#REF!</v>
      </c>
      <c r="I91" s="315"/>
      <c r="J91" s="204"/>
      <c r="K91" s="195" t="e">
        <f>I91*H91</f>
        <v>#REF!</v>
      </c>
      <c r="L91" s="205"/>
      <c r="M91" s="274"/>
      <c r="Q91" s="41"/>
      <c r="R91" s="41"/>
      <c r="S91" s="177"/>
      <c r="T91" s="43">
        <f t="shared" si="71"/>
        <v>73500</v>
      </c>
      <c r="U91" s="44">
        <v>300</v>
      </c>
      <c r="V91" s="45">
        <f t="shared" si="72"/>
        <v>0</v>
      </c>
      <c r="W91" s="179"/>
      <c r="X91" s="30"/>
      <c r="Y91" s="46">
        <f>W91*V91</f>
        <v>0</v>
      </c>
      <c r="AA91" s="41"/>
      <c r="AB91" s="41"/>
      <c r="AC91" s="41"/>
      <c r="AD91" s="177"/>
      <c r="AE91" s="43">
        <f t="shared" si="73"/>
        <v>73500</v>
      </c>
      <c r="AF91" s="44">
        <v>300</v>
      </c>
      <c r="AG91" s="45">
        <f t="shared" si="74"/>
        <v>0</v>
      </c>
      <c r="AH91" s="179"/>
      <c r="AI91" s="30"/>
      <c r="AJ91" s="46">
        <f>AH91*AG91</f>
        <v>0</v>
      </c>
      <c r="AK91" s="27"/>
      <c r="AL91" s="153"/>
      <c r="AM91" s="41"/>
      <c r="AN91" s="41"/>
      <c r="AO91" s="41"/>
      <c r="AP91" s="177"/>
      <c r="AQ91" s="43">
        <f t="shared" si="75"/>
        <v>73500</v>
      </c>
      <c r="AR91" s="44">
        <v>300</v>
      </c>
      <c r="AS91" s="45">
        <f t="shared" si="76"/>
        <v>0</v>
      </c>
      <c r="AT91" s="179"/>
      <c r="AU91" s="30"/>
      <c r="AV91" s="46">
        <f>AT91*AS91</f>
        <v>0</v>
      </c>
      <c r="AW91" s="27"/>
      <c r="AY91" s="17">
        <f t="shared" si="77"/>
        <v>0</v>
      </c>
    </row>
    <row r="92" spans="1:54" ht="15" hidden="1" customHeight="1">
      <c r="A92" s="746"/>
      <c r="B92" s="747"/>
      <c r="C92" s="810"/>
      <c r="D92" s="810"/>
      <c r="E92" s="810"/>
      <c r="F92" s="810"/>
      <c r="G92" s="810"/>
      <c r="H92" s="810"/>
      <c r="I92" s="810"/>
      <c r="J92" s="810"/>
      <c r="K92" s="246" t="e">
        <f>SUM(K89:K91)</f>
        <v>#REF!</v>
      </c>
      <c r="L92" s="205"/>
      <c r="M92" s="275"/>
      <c r="Q92" s="68"/>
      <c r="R92" s="68"/>
      <c r="S92" s="68"/>
      <c r="T92" s="68"/>
      <c r="U92" s="68"/>
      <c r="V92" s="68"/>
      <c r="W92" s="68"/>
      <c r="X92" s="68"/>
      <c r="Y92" s="175">
        <f>SUM(Y89:Y91)</f>
        <v>0</v>
      </c>
      <c r="AA92" s="811" t="s">
        <v>27</v>
      </c>
      <c r="AB92" s="812"/>
      <c r="AC92" s="812"/>
      <c r="AD92" s="812"/>
      <c r="AE92" s="812"/>
      <c r="AF92" s="812"/>
      <c r="AG92" s="812"/>
      <c r="AH92" s="812"/>
      <c r="AI92" s="813"/>
      <c r="AJ92" s="175">
        <f>SUM(AJ89:AJ91)</f>
        <v>0</v>
      </c>
      <c r="AK92" s="27"/>
      <c r="AL92" s="162"/>
      <c r="AM92" s="811" t="s">
        <v>27</v>
      </c>
      <c r="AN92" s="812"/>
      <c r="AO92" s="812"/>
      <c r="AP92" s="812"/>
      <c r="AQ92" s="812"/>
      <c r="AR92" s="812"/>
      <c r="AS92" s="812"/>
      <c r="AT92" s="812"/>
      <c r="AU92" s="813"/>
      <c r="AV92" s="175">
        <f>SUM(AV89:AV91)</f>
        <v>0</v>
      </c>
      <c r="AW92" s="27"/>
      <c r="AY92" s="17">
        <f t="shared" si="77"/>
        <v>0</v>
      </c>
    </row>
    <row r="93" spans="1:54" s="55" customFormat="1" ht="26.25" customHeight="1">
      <c r="A93" s="746"/>
      <c r="B93" s="747"/>
      <c r="C93" s="749" t="s">
        <v>21</v>
      </c>
      <c r="D93" s="749"/>
      <c r="E93" s="749"/>
      <c r="F93" s="749"/>
      <c r="G93" s="749"/>
      <c r="H93" s="749"/>
      <c r="I93" s="749"/>
      <c r="J93" s="749"/>
      <c r="K93" s="749"/>
      <c r="L93" s="749"/>
      <c r="M93" s="180"/>
      <c r="P93" s="181"/>
      <c r="Q93" s="181"/>
      <c r="R93" s="181"/>
      <c r="S93" s="181"/>
      <c r="T93" s="181"/>
      <c r="U93" s="181"/>
      <c r="V93" s="181"/>
      <c r="W93" s="181"/>
      <c r="X93" s="181"/>
      <c r="Y93" s="181"/>
      <c r="Z93" s="33"/>
      <c r="AA93" s="815" t="s">
        <v>21</v>
      </c>
      <c r="AB93" s="816"/>
      <c r="AC93" s="816"/>
      <c r="AD93" s="816"/>
      <c r="AE93" s="816"/>
      <c r="AF93" s="816"/>
      <c r="AG93" s="816"/>
      <c r="AH93" s="816"/>
      <c r="AI93" s="816"/>
      <c r="AJ93" s="816"/>
      <c r="AK93" s="817"/>
      <c r="AL93" s="180"/>
      <c r="AM93" s="815" t="s">
        <v>21</v>
      </c>
      <c r="AN93" s="816"/>
      <c r="AO93" s="816"/>
      <c r="AP93" s="816"/>
      <c r="AQ93" s="816"/>
      <c r="AR93" s="816"/>
      <c r="AS93" s="816"/>
      <c r="AT93" s="816"/>
      <c r="AU93" s="816"/>
      <c r="AV93" s="816"/>
      <c r="AW93" s="817"/>
      <c r="AY93" s="182">
        <f t="shared" si="77"/>
        <v>0</v>
      </c>
    </row>
    <row r="94" spans="1:54" ht="30.75" hidden="1" customHeight="1">
      <c r="A94" s="746"/>
      <c r="B94" s="747"/>
      <c r="C94" s="235" t="s">
        <v>22</v>
      </c>
      <c r="D94" s="224" t="s">
        <v>130</v>
      </c>
      <c r="E94" s="753"/>
      <c r="F94" s="753"/>
      <c r="G94" s="191">
        <v>1</v>
      </c>
      <c r="H94" s="192" t="e">
        <f>F94*G94/#REF!</f>
        <v>#REF!</v>
      </c>
      <c r="I94" s="316">
        <v>40000</v>
      </c>
      <c r="J94" s="311"/>
      <c r="K94" s="195" t="e">
        <f>H94*I94</f>
        <v>#REF!</v>
      </c>
      <c r="L94" s="205"/>
      <c r="M94" s="274"/>
      <c r="Q94" s="167" t="s">
        <v>22</v>
      </c>
      <c r="R94" s="167" t="s">
        <v>29</v>
      </c>
      <c r="S94" s="169">
        <f>1/2/149*T94</f>
        <v>0.16107382550335569</v>
      </c>
      <c r="T94" s="157">
        <v>48</v>
      </c>
      <c r="U94" s="158">
        <v>1</v>
      </c>
      <c r="V94" s="170">
        <f>S94*U94/T94</f>
        <v>3.3557046979865771E-3</v>
      </c>
      <c r="W94" s="183">
        <v>40000</v>
      </c>
      <c r="X94" s="177"/>
      <c r="Y94" s="46">
        <f>V94*W94</f>
        <v>134.2281879194631</v>
      </c>
      <c r="AA94" s="41">
        <v>1</v>
      </c>
      <c r="AB94" s="167" t="s">
        <v>22</v>
      </c>
      <c r="AC94" s="167" t="s">
        <v>29</v>
      </c>
      <c r="AD94" s="169">
        <f>1/2/149*AE94</f>
        <v>0.33892617449664431</v>
      </c>
      <c r="AE94" s="157">
        <v>101</v>
      </c>
      <c r="AF94" s="158">
        <v>1</v>
      </c>
      <c r="AG94" s="170">
        <f t="shared" ref="AG94:AG97" si="78">AD94*AF94/AE94</f>
        <v>3.3557046979865771E-3</v>
      </c>
      <c r="AH94" s="183">
        <v>40000</v>
      </c>
      <c r="AI94" s="177"/>
      <c r="AJ94" s="46">
        <f>AG94*AH94</f>
        <v>134.2281879194631</v>
      </c>
      <c r="AK94" s="27"/>
      <c r="AL94" s="153"/>
      <c r="AM94" s="41">
        <v>1</v>
      </c>
      <c r="AN94" s="167" t="s">
        <v>22</v>
      </c>
      <c r="AO94" s="167" t="s">
        <v>29</v>
      </c>
      <c r="AP94" s="184">
        <v>0.5</v>
      </c>
      <c r="AQ94" s="157">
        <v>149</v>
      </c>
      <c r="AR94" s="158">
        <v>1</v>
      </c>
      <c r="AS94" s="170">
        <f t="shared" ref="AS94:AS97" si="79">AP94*AR94/AQ94</f>
        <v>3.3557046979865771E-3</v>
      </c>
      <c r="AT94" s="183">
        <v>40000</v>
      </c>
      <c r="AU94" s="177"/>
      <c r="AV94" s="46">
        <f>AS94*AT94</f>
        <v>134.2281879194631</v>
      </c>
      <c r="AW94" s="27"/>
      <c r="AY94" s="17">
        <f>AJ94*149</f>
        <v>20000</v>
      </c>
      <c r="BA94" s="5">
        <f>AP94*AT94</f>
        <v>20000</v>
      </c>
    </row>
    <row r="95" spans="1:54" ht="39" hidden="1" customHeight="1">
      <c r="A95" s="746"/>
      <c r="B95" s="747"/>
      <c r="C95" s="235"/>
      <c r="D95" s="224"/>
      <c r="E95" s="753"/>
      <c r="F95" s="753"/>
      <c r="G95" s="191">
        <v>1</v>
      </c>
      <c r="H95" s="192" t="e">
        <f>F95*G95/#REF!</f>
        <v>#REF!</v>
      </c>
      <c r="I95" s="316">
        <v>60000</v>
      </c>
      <c r="J95" s="311"/>
      <c r="K95" s="195" t="e">
        <f>H95*I95</f>
        <v>#REF!</v>
      </c>
      <c r="L95" s="205"/>
      <c r="M95" s="274"/>
      <c r="Q95" s="167" t="s">
        <v>24</v>
      </c>
      <c r="R95" s="167" t="s">
        <v>231</v>
      </c>
      <c r="S95" s="184">
        <f>1/149*T95</f>
        <v>0.32214765100671139</v>
      </c>
      <c r="T95" s="157">
        <v>48</v>
      </c>
      <c r="U95" s="158">
        <v>1</v>
      </c>
      <c r="V95" s="170">
        <f t="shared" ref="V95:V97" si="80">S95*U95/T95</f>
        <v>6.7114093959731542E-3</v>
      </c>
      <c r="W95" s="183">
        <v>60000</v>
      </c>
      <c r="X95" s="177"/>
      <c r="Y95" s="46">
        <f>V95*W95</f>
        <v>402.68456375838923</v>
      </c>
      <c r="AA95" s="41">
        <v>2</v>
      </c>
      <c r="AB95" s="167" t="s">
        <v>24</v>
      </c>
      <c r="AC95" s="167" t="s">
        <v>231</v>
      </c>
      <c r="AD95" s="184">
        <f>1/149*AE95</f>
        <v>0.67785234899328861</v>
      </c>
      <c r="AE95" s="157">
        <v>101</v>
      </c>
      <c r="AF95" s="158">
        <v>1</v>
      </c>
      <c r="AG95" s="170">
        <f t="shared" si="78"/>
        <v>6.7114093959731542E-3</v>
      </c>
      <c r="AH95" s="183">
        <v>60000</v>
      </c>
      <c r="AI95" s="177"/>
      <c r="AJ95" s="46">
        <f>AG95*AH95</f>
        <v>402.68456375838923</v>
      </c>
      <c r="AK95" s="27"/>
      <c r="AL95" s="153"/>
      <c r="AM95" s="41">
        <v>2</v>
      </c>
      <c r="AN95" s="167" t="s">
        <v>24</v>
      </c>
      <c r="AO95" s="167" t="s">
        <v>231</v>
      </c>
      <c r="AP95" s="184">
        <v>0</v>
      </c>
      <c r="AQ95" s="157">
        <v>149</v>
      </c>
      <c r="AR95" s="158">
        <v>1</v>
      </c>
      <c r="AS95" s="170">
        <f t="shared" si="79"/>
        <v>0</v>
      </c>
      <c r="AT95" s="183">
        <v>60000</v>
      </c>
      <c r="AU95" s="177"/>
      <c r="AV95" s="46">
        <f>AS95*AT95</f>
        <v>0</v>
      </c>
      <c r="AW95" s="27"/>
      <c r="AY95" s="17">
        <f>AJ95*149</f>
        <v>59999.999999999993</v>
      </c>
      <c r="BA95" s="5">
        <f t="shared" ref="BA95:BA97" si="81">AP95*AT95</f>
        <v>0</v>
      </c>
    </row>
    <row r="96" spans="1:54" ht="15" hidden="1" customHeight="1">
      <c r="A96" s="746"/>
      <c r="B96" s="747"/>
      <c r="C96" s="235"/>
      <c r="D96" s="224" t="s">
        <v>130</v>
      </c>
      <c r="E96" s="753">
        <f>'[1]расчет свод'!S88</f>
        <v>5.1546391752577319E-3</v>
      </c>
      <c r="F96" s="753"/>
      <c r="G96" s="191">
        <v>1</v>
      </c>
      <c r="H96" s="192" t="e">
        <f>F96*G96/#REF!</f>
        <v>#REF!</v>
      </c>
      <c r="I96" s="317"/>
      <c r="J96" s="311"/>
      <c r="K96" s="195" t="e">
        <f>H96*I96</f>
        <v>#REF!</v>
      </c>
      <c r="L96" s="205"/>
      <c r="M96" s="274"/>
      <c r="Q96" s="167"/>
      <c r="R96" s="154"/>
      <c r="S96" s="184">
        <f t="shared" ref="S96" si="82">1*0.5</f>
        <v>0.5</v>
      </c>
      <c r="T96" s="157">
        <v>135</v>
      </c>
      <c r="U96" s="158">
        <v>1</v>
      </c>
      <c r="V96" s="170">
        <f t="shared" si="80"/>
        <v>3.7037037037037038E-3</v>
      </c>
      <c r="W96" s="185"/>
      <c r="X96" s="177"/>
      <c r="Y96" s="46">
        <f>V96*W96</f>
        <v>0</v>
      </c>
      <c r="AA96" s="41"/>
      <c r="AB96" s="167"/>
      <c r="AC96" s="154"/>
      <c r="AD96" s="184">
        <f t="shared" ref="AD96" si="83">1*0.5</f>
        <v>0.5</v>
      </c>
      <c r="AE96" s="157">
        <v>135</v>
      </c>
      <c r="AF96" s="158">
        <v>1</v>
      </c>
      <c r="AG96" s="170">
        <f t="shared" si="78"/>
        <v>3.7037037037037038E-3</v>
      </c>
      <c r="AH96" s="185"/>
      <c r="AI96" s="177"/>
      <c r="AJ96" s="46">
        <f>AG96*AH96</f>
        <v>0</v>
      </c>
      <c r="AK96" s="27"/>
      <c r="AL96" s="153"/>
      <c r="AM96" s="41"/>
      <c r="AN96" s="167"/>
      <c r="AO96" s="154"/>
      <c r="AP96" s="184">
        <f t="shared" ref="AP96:AP97" si="84">1*0.5</f>
        <v>0.5</v>
      </c>
      <c r="AQ96" s="157">
        <v>135</v>
      </c>
      <c r="AR96" s="158">
        <v>1</v>
      </c>
      <c r="AS96" s="170">
        <f t="shared" si="79"/>
        <v>3.7037037037037038E-3</v>
      </c>
      <c r="AT96" s="185"/>
      <c r="AU96" s="177"/>
      <c r="AV96" s="46">
        <f>AS96*AT96</f>
        <v>0</v>
      </c>
      <c r="AW96" s="27"/>
      <c r="AY96" s="17">
        <f t="shared" si="77"/>
        <v>0</v>
      </c>
      <c r="BA96" s="5">
        <f t="shared" si="81"/>
        <v>0</v>
      </c>
    </row>
    <row r="97" spans="1:55" ht="45" hidden="1" customHeight="1">
      <c r="A97" s="746"/>
      <c r="B97" s="747"/>
      <c r="C97" s="235" t="s">
        <v>25</v>
      </c>
      <c r="D97" s="224" t="s">
        <v>130</v>
      </c>
      <c r="E97" s="753"/>
      <c r="F97" s="753"/>
      <c r="G97" s="191">
        <v>1</v>
      </c>
      <c r="H97" s="192" t="e">
        <f>F97*G97/#REF!</f>
        <v>#REF!</v>
      </c>
      <c r="I97" s="316">
        <v>600</v>
      </c>
      <c r="J97" s="311"/>
      <c r="K97" s="195" t="e">
        <f>H97*I97</f>
        <v>#REF!</v>
      </c>
      <c r="L97" s="205"/>
      <c r="M97" s="275"/>
      <c r="Q97" s="167" t="s">
        <v>25</v>
      </c>
      <c r="R97" s="155" t="s">
        <v>95</v>
      </c>
      <c r="S97" s="169">
        <f>1/2/149*T97</f>
        <v>0.16107382550335569</v>
      </c>
      <c r="T97" s="157">
        <v>48</v>
      </c>
      <c r="U97" s="158">
        <v>1</v>
      </c>
      <c r="V97" s="170">
        <f t="shared" si="80"/>
        <v>3.3557046979865771E-3</v>
      </c>
      <c r="W97" s="183">
        <v>600</v>
      </c>
      <c r="X97" s="177"/>
      <c r="Y97" s="46">
        <f>V97*W97</f>
        <v>2.0134228187919461</v>
      </c>
      <c r="AA97" s="8">
        <v>3</v>
      </c>
      <c r="AB97" s="167" t="s">
        <v>25</v>
      </c>
      <c r="AC97" s="155" t="s">
        <v>95</v>
      </c>
      <c r="AD97" s="169">
        <f>1/2/149*AE97</f>
        <v>0.33892617449664431</v>
      </c>
      <c r="AE97" s="157">
        <v>101</v>
      </c>
      <c r="AF97" s="158">
        <v>1</v>
      </c>
      <c r="AG97" s="170">
        <f t="shared" si="78"/>
        <v>3.3557046979865771E-3</v>
      </c>
      <c r="AH97" s="183">
        <v>600</v>
      </c>
      <c r="AI97" s="177"/>
      <c r="AJ97" s="46">
        <f>AG97*AH97</f>
        <v>2.0134228187919461</v>
      </c>
      <c r="AK97" s="27"/>
      <c r="AL97" s="162"/>
      <c r="AM97" s="8">
        <v>3</v>
      </c>
      <c r="AN97" s="167" t="s">
        <v>25</v>
      </c>
      <c r="AO97" s="155" t="s">
        <v>95</v>
      </c>
      <c r="AP97" s="184">
        <f t="shared" si="84"/>
        <v>0.5</v>
      </c>
      <c r="AQ97" s="157">
        <v>149</v>
      </c>
      <c r="AR97" s="158">
        <v>1</v>
      </c>
      <c r="AS97" s="170">
        <f t="shared" si="79"/>
        <v>3.3557046979865771E-3</v>
      </c>
      <c r="AT97" s="183">
        <v>600</v>
      </c>
      <c r="AU97" s="177"/>
      <c r="AV97" s="46">
        <f>AS97*AT97</f>
        <v>2.0134228187919461</v>
      </c>
      <c r="AW97" s="27"/>
      <c r="AY97" s="17">
        <f>AJ97*149</f>
        <v>299.99999999999994</v>
      </c>
      <c r="BA97" s="5">
        <f t="shared" si="81"/>
        <v>300</v>
      </c>
    </row>
    <row r="98" spans="1:55" ht="15.75" hidden="1" customHeight="1" thickBot="1">
      <c r="A98" s="746"/>
      <c r="B98" s="747"/>
      <c r="C98" s="810"/>
      <c r="D98" s="810"/>
      <c r="E98" s="810"/>
      <c r="F98" s="810"/>
      <c r="G98" s="810"/>
      <c r="H98" s="810"/>
      <c r="I98" s="810"/>
      <c r="J98" s="810"/>
      <c r="K98" s="246" t="e">
        <f>SUM(K94:K97)</f>
        <v>#REF!</v>
      </c>
      <c r="L98" s="205"/>
      <c r="M98" s="275"/>
      <c r="Q98" s="68"/>
      <c r="R98" s="68"/>
      <c r="S98" s="68"/>
      <c r="T98" s="68"/>
      <c r="U98" s="68"/>
      <c r="V98" s="68"/>
      <c r="W98" s="68"/>
      <c r="X98" s="68"/>
      <c r="Y98" s="175">
        <f>SUM(Y94:Y97)</f>
        <v>538.92617449664431</v>
      </c>
      <c r="AA98" s="811" t="s">
        <v>27</v>
      </c>
      <c r="AB98" s="812"/>
      <c r="AC98" s="812"/>
      <c r="AD98" s="812"/>
      <c r="AE98" s="812"/>
      <c r="AF98" s="812"/>
      <c r="AG98" s="812"/>
      <c r="AH98" s="812"/>
      <c r="AI98" s="813"/>
      <c r="AJ98" s="175">
        <f>SUM(AJ94:AJ97)</f>
        <v>538.92617449664431</v>
      </c>
      <c r="AK98" s="27"/>
      <c r="AL98" s="162"/>
      <c r="AM98" s="811" t="s">
        <v>27</v>
      </c>
      <c r="AN98" s="812"/>
      <c r="AO98" s="812"/>
      <c r="AP98" s="812"/>
      <c r="AQ98" s="812"/>
      <c r="AR98" s="812"/>
      <c r="AS98" s="812"/>
      <c r="AT98" s="812"/>
      <c r="AU98" s="813"/>
      <c r="AV98" s="175">
        <f>SUM(AV94:AV97)</f>
        <v>136.24161073825505</v>
      </c>
      <c r="AW98" s="27"/>
      <c r="AY98" s="175">
        <f>AY94+AY95+AY97</f>
        <v>80300</v>
      </c>
      <c r="AZ98" s="5">
        <v>100600</v>
      </c>
      <c r="BA98" s="186">
        <f>SUM(BA94:BA97)</f>
        <v>20300</v>
      </c>
      <c r="BB98" s="95">
        <f>AY98+BA98</f>
        <v>100600</v>
      </c>
      <c r="BC98" s="5">
        <v>221</v>
      </c>
    </row>
    <row r="99" spans="1:55" s="55" customFormat="1" ht="24" customHeight="1">
      <c r="A99" s="746"/>
      <c r="B99" s="747"/>
      <c r="C99" s="749" t="s">
        <v>26</v>
      </c>
      <c r="D99" s="749"/>
      <c r="E99" s="749"/>
      <c r="F99" s="749"/>
      <c r="G99" s="749"/>
      <c r="H99" s="749"/>
      <c r="I99" s="749"/>
      <c r="J99" s="749"/>
      <c r="K99" s="749"/>
      <c r="L99" s="749"/>
      <c r="M99" s="180"/>
      <c r="P99" s="181"/>
      <c r="Q99" s="181"/>
      <c r="R99" s="181"/>
      <c r="S99" s="181"/>
      <c r="T99" s="181"/>
      <c r="U99" s="181"/>
      <c r="V99" s="181"/>
      <c r="W99" s="181"/>
      <c r="X99" s="181"/>
      <c r="Y99" s="181"/>
      <c r="Z99" s="33"/>
      <c r="AA99" s="815" t="s">
        <v>26</v>
      </c>
      <c r="AB99" s="816"/>
      <c r="AC99" s="816"/>
      <c r="AD99" s="816"/>
      <c r="AE99" s="816"/>
      <c r="AF99" s="816"/>
      <c r="AG99" s="816"/>
      <c r="AH99" s="816"/>
      <c r="AI99" s="816"/>
      <c r="AJ99" s="816"/>
      <c r="AK99" s="817"/>
      <c r="AL99" s="180"/>
      <c r="AM99" s="815" t="s">
        <v>26</v>
      </c>
      <c r="AN99" s="816"/>
      <c r="AO99" s="816"/>
      <c r="AP99" s="816"/>
      <c r="AQ99" s="816"/>
      <c r="AR99" s="816"/>
      <c r="AS99" s="816"/>
      <c r="AT99" s="816"/>
      <c r="AU99" s="816"/>
      <c r="AV99" s="816"/>
      <c r="AW99" s="817"/>
      <c r="AY99" s="182">
        <f t="shared" si="77"/>
        <v>0</v>
      </c>
      <c r="AZ99" s="187">
        <f>AY98+BA98</f>
        <v>100600</v>
      </c>
    </row>
    <row r="100" spans="1:55" ht="39" customHeight="1">
      <c r="A100" s="746"/>
      <c r="B100" s="747"/>
      <c r="C100" s="235" t="s">
        <v>94</v>
      </c>
      <c r="D100" s="235" t="s">
        <v>30</v>
      </c>
      <c r="E100" s="753" t="e">
        <f>'расчет по услугам'!#REF!</f>
        <v>#REF!</v>
      </c>
      <c r="F100" s="753"/>
      <c r="G100" s="191">
        <v>1</v>
      </c>
      <c r="H100" s="318" t="e">
        <f>F100*G100/#REF!</f>
        <v>#REF!</v>
      </c>
      <c r="I100" s="316">
        <v>25000</v>
      </c>
      <c r="J100" s="194"/>
      <c r="K100" s="195" t="e">
        <f>H100*I100</f>
        <v>#REF!</v>
      </c>
      <c r="L100" s="205"/>
      <c r="M100" s="274"/>
      <c r="Q100" s="167" t="s">
        <v>94</v>
      </c>
      <c r="R100" s="167" t="s">
        <v>30</v>
      </c>
      <c r="S100" s="184">
        <f>1/149*T100</f>
        <v>0.32214765100671139</v>
      </c>
      <c r="T100" s="157">
        <v>48</v>
      </c>
      <c r="U100" s="158">
        <v>1</v>
      </c>
      <c r="V100" s="170">
        <f>S100*U100/T100</f>
        <v>6.7114093959731542E-3</v>
      </c>
      <c r="W100" s="183">
        <v>25000</v>
      </c>
      <c r="X100" s="30"/>
      <c r="Y100" s="46">
        <f>V100*W100</f>
        <v>167.78523489932886</v>
      </c>
      <c r="AA100" s="41">
        <v>1</v>
      </c>
      <c r="AB100" s="167" t="s">
        <v>94</v>
      </c>
      <c r="AC100" s="167" t="s">
        <v>30</v>
      </c>
      <c r="AD100" s="184">
        <f>1/149*AE100</f>
        <v>0.67785234899328861</v>
      </c>
      <c r="AE100" s="157">
        <v>101</v>
      </c>
      <c r="AF100" s="158">
        <v>1</v>
      </c>
      <c r="AG100" s="170">
        <f>AD100*AF100/AE100</f>
        <v>6.7114093959731542E-3</v>
      </c>
      <c r="AH100" s="183">
        <v>25000</v>
      </c>
      <c r="AI100" s="30"/>
      <c r="AJ100" s="46">
        <f>AG100*AH100</f>
        <v>167.78523489932886</v>
      </c>
      <c r="AK100" s="27"/>
      <c r="AL100" s="153"/>
      <c r="AM100" s="41">
        <v>1</v>
      </c>
      <c r="AN100" s="167" t="s">
        <v>94</v>
      </c>
      <c r="AO100" s="167" t="s">
        <v>30</v>
      </c>
      <c r="AP100" s="184">
        <f>2*0.5</f>
        <v>1</v>
      </c>
      <c r="AQ100" s="157">
        <v>149</v>
      </c>
      <c r="AR100" s="158">
        <v>1</v>
      </c>
      <c r="AS100" s="170">
        <f>AP100*AR100/AQ100</f>
        <v>6.7114093959731542E-3</v>
      </c>
      <c r="AT100" s="183">
        <v>25000</v>
      </c>
      <c r="AU100" s="30"/>
      <c r="AV100" s="46">
        <f>AS100*AT100</f>
        <v>167.78523489932886</v>
      </c>
      <c r="AW100" s="27"/>
      <c r="AY100" s="17">
        <f>AJ100*149</f>
        <v>25000</v>
      </c>
      <c r="BA100" s="5">
        <f t="shared" ref="BA100" si="85">AP100*AT100</f>
        <v>25000</v>
      </c>
    </row>
    <row r="101" spans="1:55" ht="15.75" hidden="1" customHeight="1" thickBot="1">
      <c r="A101" s="746"/>
      <c r="B101" s="747"/>
      <c r="C101" s="821"/>
      <c r="D101" s="821"/>
      <c r="E101" s="821"/>
      <c r="F101" s="821"/>
      <c r="G101" s="821"/>
      <c r="H101" s="821"/>
      <c r="I101" s="821"/>
      <c r="J101" s="821"/>
      <c r="K101" s="246" t="e">
        <f>SUM(K100:K100)</f>
        <v>#REF!</v>
      </c>
      <c r="L101" s="205"/>
      <c r="M101" s="275"/>
      <c r="Q101" s="68"/>
      <c r="R101" s="68"/>
      <c r="S101" s="68"/>
      <c r="T101" s="68"/>
      <c r="U101" s="68"/>
      <c r="V101" s="68"/>
      <c r="W101" s="68"/>
      <c r="X101" s="68"/>
      <c r="Y101" s="175">
        <f>SUM(Y100:Y100)</f>
        <v>167.78523489932886</v>
      </c>
      <c r="AA101" s="811" t="s">
        <v>27</v>
      </c>
      <c r="AB101" s="812"/>
      <c r="AC101" s="812"/>
      <c r="AD101" s="812"/>
      <c r="AE101" s="812"/>
      <c r="AF101" s="812"/>
      <c r="AG101" s="812"/>
      <c r="AH101" s="812"/>
      <c r="AI101" s="813"/>
      <c r="AJ101" s="175">
        <f>SUM(AJ100:AJ100)</f>
        <v>167.78523489932886</v>
      </c>
      <c r="AK101" s="27"/>
      <c r="AL101" s="162"/>
      <c r="AM101" s="811" t="s">
        <v>27</v>
      </c>
      <c r="AN101" s="812"/>
      <c r="AO101" s="812"/>
      <c r="AP101" s="812"/>
      <c r="AQ101" s="812"/>
      <c r="AR101" s="812"/>
      <c r="AS101" s="812"/>
      <c r="AT101" s="812"/>
      <c r="AU101" s="813"/>
      <c r="AV101" s="175">
        <f>SUM(AV100:AV100)</f>
        <v>167.78523489932886</v>
      </c>
      <c r="AW101" s="27"/>
      <c r="AY101" s="175">
        <f>SUM(AY100:AY100)</f>
        <v>25000</v>
      </c>
      <c r="BA101" s="175">
        <f>SUM(BA100:BA100)</f>
        <v>25000</v>
      </c>
      <c r="BB101" s="188">
        <f>AY101+BA101</f>
        <v>50000</v>
      </c>
      <c r="BC101" s="5">
        <v>222</v>
      </c>
    </row>
    <row r="102" spans="1:55" ht="43.5" customHeight="1">
      <c r="A102" s="746"/>
      <c r="B102" s="747"/>
      <c r="C102" s="822" t="s">
        <v>66</v>
      </c>
      <c r="D102" s="822"/>
      <c r="E102" s="822"/>
      <c r="F102" s="822"/>
      <c r="G102" s="822"/>
      <c r="H102" s="822"/>
      <c r="I102" s="822"/>
      <c r="J102" s="822"/>
      <c r="K102" s="822"/>
      <c r="L102" s="822"/>
      <c r="M102" s="189"/>
      <c r="Q102" s="68"/>
      <c r="R102" s="68"/>
      <c r="S102" s="68"/>
      <c r="T102" s="68"/>
      <c r="U102" s="68"/>
      <c r="V102" s="68"/>
      <c r="W102" s="68"/>
      <c r="X102" s="68"/>
      <c r="Y102" s="68"/>
      <c r="AA102" s="818" t="s">
        <v>66</v>
      </c>
      <c r="AB102" s="819"/>
      <c r="AC102" s="819"/>
      <c r="AD102" s="819"/>
      <c r="AE102" s="819"/>
      <c r="AF102" s="819"/>
      <c r="AG102" s="819"/>
      <c r="AH102" s="819"/>
      <c r="AI102" s="819"/>
      <c r="AJ102" s="819"/>
      <c r="AK102" s="820"/>
      <c r="AL102" s="189"/>
      <c r="AM102" s="818" t="s">
        <v>66</v>
      </c>
      <c r="AN102" s="819"/>
      <c r="AO102" s="819"/>
      <c r="AP102" s="819"/>
      <c r="AQ102" s="819"/>
      <c r="AR102" s="819"/>
      <c r="AS102" s="819"/>
      <c r="AT102" s="819"/>
      <c r="AU102" s="819"/>
      <c r="AV102" s="819"/>
      <c r="AW102" s="820"/>
      <c r="AY102" s="17">
        <f t="shared" ref="AY102" si="86">AJ102*443052</f>
        <v>0</v>
      </c>
    </row>
    <row r="103" spans="1:55" ht="43.5" customHeight="1">
      <c r="A103" s="746"/>
      <c r="B103" s="747"/>
      <c r="C103" s="263" t="e">
        <f>'расчет по услугам'!#REF!</f>
        <v>#REF!</v>
      </c>
      <c r="D103" s="190" t="s">
        <v>192</v>
      </c>
      <c r="E103" s="753" t="e">
        <f>'расчет по услугам'!#REF!</f>
        <v>#REF!</v>
      </c>
      <c r="F103" s="753"/>
      <c r="G103" s="262"/>
      <c r="H103" s="262"/>
      <c r="I103" s="262"/>
      <c r="J103" s="262"/>
      <c r="K103" s="262"/>
      <c r="L103" s="262"/>
      <c r="M103" s="189"/>
      <c r="Q103" s="68"/>
      <c r="R103" s="68"/>
      <c r="S103" s="68"/>
      <c r="T103" s="68"/>
      <c r="U103" s="68"/>
      <c r="V103" s="68"/>
      <c r="W103" s="68"/>
      <c r="X103" s="68"/>
      <c r="Y103" s="68"/>
      <c r="AA103" s="59"/>
      <c r="AB103" s="36"/>
      <c r="AC103" s="60"/>
      <c r="AD103" s="60"/>
      <c r="AE103" s="60"/>
      <c r="AF103" s="60"/>
      <c r="AG103" s="60"/>
      <c r="AH103" s="60"/>
      <c r="AI103" s="60"/>
      <c r="AJ103" s="60"/>
      <c r="AK103" s="61"/>
      <c r="AL103" s="189"/>
      <c r="AM103" s="59"/>
      <c r="AN103" s="36"/>
      <c r="AO103" s="60"/>
      <c r="AP103" s="60"/>
      <c r="AQ103" s="60"/>
      <c r="AR103" s="60"/>
      <c r="AS103" s="60"/>
      <c r="AT103" s="60"/>
      <c r="AU103" s="60"/>
      <c r="AV103" s="60"/>
      <c r="AW103" s="61"/>
      <c r="AY103" s="17"/>
    </row>
    <row r="104" spans="1:55" ht="43.5" customHeight="1">
      <c r="A104" s="746"/>
      <c r="B104" s="747"/>
      <c r="C104" s="263" t="e">
        <f>'расчет по услугам'!#REF!</f>
        <v>#REF!</v>
      </c>
      <c r="D104" s="190" t="s">
        <v>192</v>
      </c>
      <c r="E104" s="753" t="e">
        <f>'расчет по услугам'!#REF!</f>
        <v>#REF!</v>
      </c>
      <c r="F104" s="753"/>
      <c r="G104" s="262"/>
      <c r="H104" s="262"/>
      <c r="I104" s="262"/>
      <c r="J104" s="262"/>
      <c r="K104" s="262"/>
      <c r="L104" s="262"/>
      <c r="M104" s="189"/>
      <c r="Q104" s="68"/>
      <c r="R104" s="68"/>
      <c r="S104" s="68"/>
      <c r="T104" s="68"/>
      <c r="U104" s="68"/>
      <c r="V104" s="68"/>
      <c r="W104" s="68"/>
      <c r="X104" s="68"/>
      <c r="Y104" s="68"/>
      <c r="AA104" s="59"/>
      <c r="AB104" s="36"/>
      <c r="AC104" s="60"/>
      <c r="AD104" s="60"/>
      <c r="AE104" s="60"/>
      <c r="AF104" s="60"/>
      <c r="AG104" s="60"/>
      <c r="AH104" s="60"/>
      <c r="AI104" s="60"/>
      <c r="AJ104" s="60"/>
      <c r="AK104" s="61"/>
      <c r="AL104" s="189"/>
      <c r="AM104" s="59"/>
      <c r="AN104" s="36"/>
      <c r="AO104" s="60"/>
      <c r="AP104" s="60"/>
      <c r="AQ104" s="60"/>
      <c r="AR104" s="60"/>
      <c r="AS104" s="60"/>
      <c r="AT104" s="60"/>
      <c r="AU104" s="60"/>
      <c r="AV104" s="60"/>
      <c r="AW104" s="61"/>
      <c r="AY104" s="17"/>
    </row>
    <row r="105" spans="1:55" ht="43.5" hidden="1" customHeight="1">
      <c r="A105" s="746"/>
      <c r="B105" s="747"/>
      <c r="C105" s="263" t="e">
        <f>'расчет по услугам'!#REF!</f>
        <v>#REF!</v>
      </c>
      <c r="D105" s="190" t="s">
        <v>192</v>
      </c>
      <c r="E105" s="753" t="e">
        <f>'расчет по услугам'!#REF!</f>
        <v>#REF!</v>
      </c>
      <c r="F105" s="753"/>
      <c r="G105" s="262"/>
      <c r="H105" s="262"/>
      <c r="I105" s="262"/>
      <c r="J105" s="262"/>
      <c r="K105" s="262"/>
      <c r="L105" s="262"/>
      <c r="M105" s="189"/>
      <c r="Q105" s="68"/>
      <c r="R105" s="68"/>
      <c r="S105" s="68"/>
      <c r="T105" s="68"/>
      <c r="U105" s="68"/>
      <c r="V105" s="68"/>
      <c r="W105" s="68"/>
      <c r="X105" s="68"/>
      <c r="Y105" s="68"/>
      <c r="AA105" s="59"/>
      <c r="AB105" s="36"/>
      <c r="AC105" s="60"/>
      <c r="AD105" s="60"/>
      <c r="AE105" s="60"/>
      <c r="AF105" s="60"/>
      <c r="AG105" s="60"/>
      <c r="AH105" s="60"/>
      <c r="AI105" s="60"/>
      <c r="AJ105" s="60"/>
      <c r="AK105" s="61"/>
      <c r="AL105" s="189"/>
      <c r="AM105" s="59"/>
      <c r="AN105" s="36"/>
      <c r="AO105" s="60"/>
      <c r="AP105" s="60"/>
      <c r="AQ105" s="60"/>
      <c r="AR105" s="60"/>
      <c r="AS105" s="60"/>
      <c r="AT105" s="60"/>
      <c r="AU105" s="60"/>
      <c r="AV105" s="60"/>
      <c r="AW105" s="61"/>
      <c r="AY105" s="17"/>
    </row>
    <row r="106" spans="1:55" ht="43.5" hidden="1" customHeight="1">
      <c r="A106" s="746"/>
      <c r="B106" s="747"/>
      <c r="C106" s="263" t="e">
        <f>'расчет по услугам'!#REF!</f>
        <v>#REF!</v>
      </c>
      <c r="D106" s="190" t="s">
        <v>192</v>
      </c>
      <c r="E106" s="753" t="e">
        <f>'расчет по услугам'!#REF!</f>
        <v>#REF!</v>
      </c>
      <c r="F106" s="753"/>
      <c r="G106" s="262"/>
      <c r="H106" s="262"/>
      <c r="I106" s="262"/>
      <c r="J106" s="262"/>
      <c r="K106" s="262"/>
      <c r="L106" s="262"/>
      <c r="M106" s="189"/>
      <c r="Q106" s="68"/>
      <c r="R106" s="68"/>
      <c r="S106" s="68"/>
      <c r="T106" s="68"/>
      <c r="U106" s="68"/>
      <c r="V106" s="68"/>
      <c r="W106" s="68"/>
      <c r="X106" s="68"/>
      <c r="Y106" s="68"/>
      <c r="AA106" s="59"/>
      <c r="AB106" s="36"/>
      <c r="AC106" s="60"/>
      <c r="AD106" s="60"/>
      <c r="AE106" s="60"/>
      <c r="AF106" s="60"/>
      <c r="AG106" s="60"/>
      <c r="AH106" s="60"/>
      <c r="AI106" s="60"/>
      <c r="AJ106" s="60"/>
      <c r="AK106" s="61"/>
      <c r="AL106" s="189"/>
      <c r="AM106" s="59"/>
      <c r="AN106" s="36"/>
      <c r="AO106" s="60"/>
      <c r="AP106" s="60"/>
      <c r="AQ106" s="60"/>
      <c r="AR106" s="60"/>
      <c r="AS106" s="60"/>
      <c r="AT106" s="60"/>
      <c r="AU106" s="60"/>
      <c r="AV106" s="60"/>
      <c r="AW106" s="61"/>
      <c r="AY106" s="17"/>
    </row>
    <row r="107" spans="1:55" ht="43.5" hidden="1" customHeight="1">
      <c r="A107" s="746"/>
      <c r="B107" s="747"/>
      <c r="C107" s="263" t="e">
        <f>'расчет по услугам'!#REF!</f>
        <v>#REF!</v>
      </c>
      <c r="D107" s="190" t="s">
        <v>192</v>
      </c>
      <c r="E107" s="753" t="e">
        <f>'расчет по услугам'!#REF!</f>
        <v>#REF!</v>
      </c>
      <c r="F107" s="753"/>
      <c r="G107" s="262"/>
      <c r="H107" s="262"/>
      <c r="I107" s="262"/>
      <c r="J107" s="262"/>
      <c r="K107" s="262"/>
      <c r="L107" s="262"/>
      <c r="M107" s="189"/>
      <c r="Q107" s="68"/>
      <c r="R107" s="68"/>
      <c r="S107" s="68"/>
      <c r="T107" s="68"/>
      <c r="U107" s="68"/>
      <c r="V107" s="68"/>
      <c r="W107" s="68"/>
      <c r="X107" s="68"/>
      <c r="Y107" s="68"/>
      <c r="AA107" s="59"/>
      <c r="AB107" s="36"/>
      <c r="AC107" s="60"/>
      <c r="AD107" s="60"/>
      <c r="AE107" s="60"/>
      <c r="AF107" s="60"/>
      <c r="AG107" s="60"/>
      <c r="AH107" s="60"/>
      <c r="AI107" s="60"/>
      <c r="AJ107" s="60"/>
      <c r="AK107" s="61"/>
      <c r="AL107" s="189"/>
      <c r="AM107" s="59"/>
      <c r="AN107" s="36"/>
      <c r="AO107" s="60"/>
      <c r="AP107" s="60"/>
      <c r="AQ107" s="60"/>
      <c r="AR107" s="60"/>
      <c r="AS107" s="60"/>
      <c r="AT107" s="60"/>
      <c r="AU107" s="60"/>
      <c r="AV107" s="60"/>
      <c r="AW107" s="61"/>
      <c r="AY107" s="17"/>
    </row>
    <row r="108" spans="1:55" ht="43.5" customHeight="1">
      <c r="A108" s="746"/>
      <c r="B108" s="747"/>
      <c r="C108" s="263" t="e">
        <f>'расчет по услугам'!#REF!</f>
        <v>#REF!</v>
      </c>
      <c r="D108" s="190" t="s">
        <v>192</v>
      </c>
      <c r="E108" s="753" t="e">
        <f>'расчет по услугам'!#REF!</f>
        <v>#REF!</v>
      </c>
      <c r="F108" s="753"/>
      <c r="G108" s="262"/>
      <c r="H108" s="262"/>
      <c r="I108" s="262"/>
      <c r="J108" s="262"/>
      <c r="K108" s="262"/>
      <c r="L108" s="262"/>
      <c r="M108" s="189"/>
      <c r="Q108" s="68"/>
      <c r="R108" s="68"/>
      <c r="S108" s="68"/>
      <c r="T108" s="68"/>
      <c r="U108" s="68"/>
      <c r="V108" s="68"/>
      <c r="W108" s="68"/>
      <c r="X108" s="68"/>
      <c r="Y108" s="68"/>
      <c r="AA108" s="59"/>
      <c r="AB108" s="36"/>
      <c r="AC108" s="60"/>
      <c r="AD108" s="60"/>
      <c r="AE108" s="60"/>
      <c r="AF108" s="60"/>
      <c r="AG108" s="60"/>
      <c r="AH108" s="60"/>
      <c r="AI108" s="60"/>
      <c r="AJ108" s="60"/>
      <c r="AK108" s="61"/>
      <c r="AL108" s="189"/>
      <c r="AM108" s="59"/>
      <c r="AN108" s="36"/>
      <c r="AO108" s="60"/>
      <c r="AP108" s="60"/>
      <c r="AQ108" s="60"/>
      <c r="AR108" s="60"/>
      <c r="AS108" s="60"/>
      <c r="AT108" s="60"/>
      <c r="AU108" s="60"/>
      <c r="AV108" s="60"/>
      <c r="AW108" s="61"/>
      <c r="AY108" s="17"/>
    </row>
    <row r="109" spans="1:55" ht="43.5" hidden="1" customHeight="1">
      <c r="A109" s="746"/>
      <c r="B109" s="747"/>
      <c r="C109" s="263" t="e">
        <f>'расчет по услугам'!#REF!</f>
        <v>#REF!</v>
      </c>
      <c r="D109" s="190" t="s">
        <v>192</v>
      </c>
      <c r="E109" s="753" t="e">
        <f>'расчет по услугам'!#REF!</f>
        <v>#REF!</v>
      </c>
      <c r="F109" s="753"/>
      <c r="G109" s="262"/>
      <c r="H109" s="262"/>
      <c r="I109" s="262"/>
      <c r="J109" s="262"/>
      <c r="K109" s="262"/>
      <c r="L109" s="262"/>
      <c r="M109" s="189"/>
      <c r="Q109" s="68"/>
      <c r="R109" s="68"/>
      <c r="S109" s="68"/>
      <c r="T109" s="68"/>
      <c r="U109" s="68"/>
      <c r="V109" s="68"/>
      <c r="W109" s="68"/>
      <c r="X109" s="68"/>
      <c r="Y109" s="68"/>
      <c r="AA109" s="59"/>
      <c r="AB109" s="36"/>
      <c r="AC109" s="60"/>
      <c r="AD109" s="60"/>
      <c r="AE109" s="60"/>
      <c r="AF109" s="60"/>
      <c r="AG109" s="60"/>
      <c r="AH109" s="60"/>
      <c r="AI109" s="60"/>
      <c r="AJ109" s="60"/>
      <c r="AK109" s="61"/>
      <c r="AL109" s="189"/>
      <c r="AM109" s="59"/>
      <c r="AN109" s="36"/>
      <c r="AO109" s="60"/>
      <c r="AP109" s="60"/>
      <c r="AQ109" s="60"/>
      <c r="AR109" s="60"/>
      <c r="AS109" s="60"/>
      <c r="AT109" s="60"/>
      <c r="AU109" s="60"/>
      <c r="AV109" s="60"/>
      <c r="AW109" s="61"/>
      <c r="AY109" s="17"/>
    </row>
    <row r="110" spans="1:55" s="39" customFormat="1" ht="29.25" customHeight="1">
      <c r="A110" s="746"/>
      <c r="B110" s="747"/>
      <c r="C110" s="263" t="e">
        <f>'расчет по услугам'!#REF!</f>
        <v>#REF!</v>
      </c>
      <c r="D110" s="190" t="s">
        <v>192</v>
      </c>
      <c r="E110" s="753" t="e">
        <f>'расчет по услугам'!#REF!</f>
        <v>#REF!</v>
      </c>
      <c r="F110" s="753"/>
      <c r="G110" s="191">
        <v>1</v>
      </c>
      <c r="H110" s="192" t="e">
        <f>F110*G110/#REF!</f>
        <v>#REF!</v>
      </c>
      <c r="I110" s="193">
        <f>586781*1.302</f>
        <v>763988.86200000008</v>
      </c>
      <c r="J110" s="194"/>
      <c r="K110" s="195" t="e">
        <f>H110*I110</f>
        <v>#REF!</v>
      </c>
      <c r="L110" s="196"/>
      <c r="M110" s="274"/>
      <c r="P110" s="68"/>
      <c r="Q110" s="198" t="s">
        <v>232</v>
      </c>
      <c r="R110" s="167" t="s">
        <v>31</v>
      </c>
      <c r="S110" s="169">
        <f>1/2/149*T110</f>
        <v>0.16107382550335569</v>
      </c>
      <c r="T110" s="157">
        <v>48</v>
      </c>
      <c r="U110" s="158">
        <v>1</v>
      </c>
      <c r="V110" s="170">
        <f>S110*U110/T110</f>
        <v>3.3557046979865771E-3</v>
      </c>
      <c r="W110" s="199">
        <f>586781*1.302</f>
        <v>763988.86200000008</v>
      </c>
      <c r="X110" s="119"/>
      <c r="Y110" s="46">
        <f>V110*W110</f>
        <v>2563.7210134228189</v>
      </c>
      <c r="AA110" s="200">
        <v>1</v>
      </c>
      <c r="AB110" s="198" t="s">
        <v>232</v>
      </c>
      <c r="AC110" s="167" t="s">
        <v>31</v>
      </c>
      <c r="AD110" s="169">
        <f>1/2/149*AE110</f>
        <v>0.33892617449664431</v>
      </c>
      <c r="AE110" s="157">
        <v>101</v>
      </c>
      <c r="AF110" s="158">
        <v>1</v>
      </c>
      <c r="AG110" s="170">
        <f>AD110*AF110/AE110</f>
        <v>3.3557046979865771E-3</v>
      </c>
      <c r="AH110" s="199">
        <f>586781*1.302</f>
        <v>763988.86200000008</v>
      </c>
      <c r="AI110" s="119"/>
      <c r="AJ110" s="46">
        <f>AG110*AH110</f>
        <v>2563.7210134228189</v>
      </c>
      <c r="AK110" s="121"/>
      <c r="AL110" s="153"/>
      <c r="AM110" s="200">
        <v>1</v>
      </c>
      <c r="AN110" s="198" t="s">
        <v>232</v>
      </c>
      <c r="AO110" s="167" t="s">
        <v>31</v>
      </c>
      <c r="AP110" s="201">
        <f>1/2</f>
        <v>0.5</v>
      </c>
      <c r="AQ110" s="157">
        <v>149</v>
      </c>
      <c r="AR110" s="158">
        <v>1</v>
      </c>
      <c r="AS110" s="170">
        <f>AP110*AR110/AQ110</f>
        <v>3.3557046979865771E-3</v>
      </c>
      <c r="AT110" s="199">
        <f>586781*1.302</f>
        <v>763988.86200000008</v>
      </c>
      <c r="AU110" s="119"/>
      <c r="AV110" s="46">
        <f>AS110*AT110</f>
        <v>2563.7210134228189</v>
      </c>
      <c r="AW110" s="121"/>
      <c r="AY110" s="202">
        <f>AJ110*149</f>
        <v>381994.43100000004</v>
      </c>
      <c r="BA110" s="54">
        <f>AV110*149</f>
        <v>381994.43100000004</v>
      </c>
      <c r="BB110" s="203">
        <f>AY110+BA110</f>
        <v>763988.86200000008</v>
      </c>
    </row>
    <row r="111" spans="1:55" s="39" customFormat="1" ht="26.25" customHeight="1">
      <c r="A111" s="746"/>
      <c r="B111" s="747"/>
      <c r="C111" s="263" t="e">
        <f>'расчет по услугам'!#REF!</f>
        <v>#REF!</v>
      </c>
      <c r="D111" s="190" t="s">
        <v>192</v>
      </c>
      <c r="E111" s="753" t="e">
        <f>'расчет по услугам'!#REF!</f>
        <v>#REF!</v>
      </c>
      <c r="F111" s="753"/>
      <c r="G111" s="191">
        <v>1</v>
      </c>
      <c r="H111" s="192" t="e">
        <f>F111*G111/#REF!</f>
        <v>#REF!</v>
      </c>
      <c r="I111" s="193">
        <f>193154*1.302</f>
        <v>251486.508</v>
      </c>
      <c r="J111" s="194"/>
      <c r="K111" s="195" t="e">
        <f t="shared" ref="K111" si="87">H111*I111</f>
        <v>#REF!</v>
      </c>
      <c r="L111" s="196"/>
      <c r="M111" s="274"/>
      <c r="P111" s="68"/>
      <c r="Q111" s="198" t="s">
        <v>233</v>
      </c>
      <c r="R111" s="167" t="s">
        <v>31</v>
      </c>
      <c r="S111" s="169">
        <f>1/2/149*T111</f>
        <v>0.16107382550335569</v>
      </c>
      <c r="T111" s="157">
        <f>T110</f>
        <v>48</v>
      </c>
      <c r="U111" s="158">
        <v>1</v>
      </c>
      <c r="V111" s="170">
        <f t="shared" ref="V111" si="88">S111*U111/T111</f>
        <v>3.3557046979865771E-3</v>
      </c>
      <c r="W111" s="199">
        <f>193154*1.302</f>
        <v>251486.508</v>
      </c>
      <c r="X111" s="119"/>
      <c r="Y111" s="46">
        <f t="shared" ref="Y111" si="89">V111*W111</f>
        <v>843.91445637583888</v>
      </c>
      <c r="AA111" s="200">
        <v>2</v>
      </c>
      <c r="AB111" s="198" t="s">
        <v>233</v>
      </c>
      <c r="AC111" s="167" t="s">
        <v>31</v>
      </c>
      <c r="AD111" s="169">
        <f>1/2/149*AE111</f>
        <v>0.33892617449664431</v>
      </c>
      <c r="AE111" s="157">
        <f>AE110</f>
        <v>101</v>
      </c>
      <c r="AF111" s="158">
        <v>1</v>
      </c>
      <c r="AG111" s="170">
        <f t="shared" ref="AG111" si="90">AD111*AF111/AE111</f>
        <v>3.3557046979865771E-3</v>
      </c>
      <c r="AH111" s="199">
        <f>193154*1.302</f>
        <v>251486.508</v>
      </c>
      <c r="AI111" s="119"/>
      <c r="AJ111" s="46">
        <f t="shared" ref="AJ111:AJ113" si="91">AG111*AH111</f>
        <v>843.91445637583888</v>
      </c>
      <c r="AK111" s="121"/>
      <c r="AL111" s="153"/>
      <c r="AM111" s="200">
        <v>2</v>
      </c>
      <c r="AN111" s="198" t="s">
        <v>233</v>
      </c>
      <c r="AO111" s="167" t="s">
        <v>31</v>
      </c>
      <c r="AP111" s="201">
        <f t="shared" ref="AP111" si="92">1/2</f>
        <v>0.5</v>
      </c>
      <c r="AQ111" s="157">
        <f>AQ110</f>
        <v>149</v>
      </c>
      <c r="AR111" s="158">
        <v>1</v>
      </c>
      <c r="AS111" s="170">
        <f t="shared" ref="AS111" si="93">AP111*AR111/AQ111</f>
        <v>3.3557046979865771E-3</v>
      </c>
      <c r="AT111" s="199">
        <f>193154*1.302</f>
        <v>251486.508</v>
      </c>
      <c r="AU111" s="119"/>
      <c r="AV111" s="46">
        <f t="shared" ref="AV111" si="94">AS111*AT111</f>
        <v>843.91445637583888</v>
      </c>
      <c r="AW111" s="121"/>
      <c r="AY111" s="202">
        <f>AJ111*149</f>
        <v>125743.25399999999</v>
      </c>
      <c r="BA111" s="54">
        <f>AV111*149</f>
        <v>125743.25399999999</v>
      </c>
      <c r="BB111" s="203">
        <f t="shared" ref="BB111:BB112" si="95">AY111+BA111</f>
        <v>251486.50799999997</v>
      </c>
    </row>
    <row r="112" spans="1:55" s="39" customFormat="1" ht="32.25" customHeight="1">
      <c r="A112" s="746"/>
      <c r="B112" s="747"/>
      <c r="C112" s="263" t="e">
        <f>'расчет по услугам'!#REF!</f>
        <v>#REF!</v>
      </c>
      <c r="D112" s="190" t="s">
        <v>192</v>
      </c>
      <c r="E112" s="753" t="e">
        <f>'расчет по услугам'!#REF!</f>
        <v>#REF!</v>
      </c>
      <c r="F112" s="753"/>
      <c r="G112" s="191">
        <v>1</v>
      </c>
      <c r="H112" s="192" t="e">
        <f>F112*G112/#REF!</f>
        <v>#REF!</v>
      </c>
      <c r="I112" s="193">
        <f>178360*1.302</f>
        <v>232224.72</v>
      </c>
      <c r="J112" s="194"/>
      <c r="K112" s="195" t="e">
        <f>H112*I112</f>
        <v>#REF!</v>
      </c>
      <c r="L112" s="196"/>
      <c r="M112" s="274"/>
      <c r="P112" s="68"/>
      <c r="Q112" s="198" t="s">
        <v>234</v>
      </c>
      <c r="R112" s="167" t="s">
        <v>31</v>
      </c>
      <c r="S112" s="169">
        <f>1/2/149*T112</f>
        <v>0.16107382550335569</v>
      </c>
      <c r="T112" s="157">
        <f t="shared" ref="T112:T114" si="96">T111</f>
        <v>48</v>
      </c>
      <c r="U112" s="158">
        <v>1</v>
      </c>
      <c r="V112" s="170">
        <f>S112*U112/T112</f>
        <v>3.3557046979865771E-3</v>
      </c>
      <c r="W112" s="199">
        <f>178360*1.302</f>
        <v>232224.72</v>
      </c>
      <c r="X112" s="119"/>
      <c r="Y112" s="46">
        <f>V112*W112</f>
        <v>779.27758389261749</v>
      </c>
      <c r="AA112" s="200">
        <v>3</v>
      </c>
      <c r="AB112" s="198" t="s">
        <v>234</v>
      </c>
      <c r="AC112" s="167" t="s">
        <v>31</v>
      </c>
      <c r="AD112" s="169">
        <f>1/2/149*AE112</f>
        <v>0.33892617449664431</v>
      </c>
      <c r="AE112" s="157">
        <f t="shared" ref="AE112:AE114" si="97">AE111</f>
        <v>101</v>
      </c>
      <c r="AF112" s="158">
        <v>1</v>
      </c>
      <c r="AG112" s="170">
        <f>AD112*AF112/AE112</f>
        <v>3.3557046979865771E-3</v>
      </c>
      <c r="AH112" s="199">
        <f>178360*1.302</f>
        <v>232224.72</v>
      </c>
      <c r="AI112" s="119"/>
      <c r="AJ112" s="46">
        <f>AG112*AH112</f>
        <v>779.27758389261749</v>
      </c>
      <c r="AK112" s="121"/>
      <c r="AL112" s="153"/>
      <c r="AM112" s="200">
        <v>3</v>
      </c>
      <c r="AN112" s="198" t="s">
        <v>234</v>
      </c>
      <c r="AO112" s="167" t="s">
        <v>31</v>
      </c>
      <c r="AP112" s="201">
        <v>0.5</v>
      </c>
      <c r="AQ112" s="157">
        <f t="shared" ref="AQ112:AQ114" si="98">AQ111</f>
        <v>149</v>
      </c>
      <c r="AR112" s="158">
        <v>1</v>
      </c>
      <c r="AS112" s="170">
        <f>AP112*AR112/AQ112</f>
        <v>3.3557046979865771E-3</v>
      </c>
      <c r="AT112" s="199">
        <f>178360*1.302</f>
        <v>232224.72</v>
      </c>
      <c r="AU112" s="119"/>
      <c r="AV112" s="46">
        <f>AS112*AT112</f>
        <v>779.27758389261749</v>
      </c>
      <c r="AW112" s="121"/>
      <c r="AY112" s="202">
        <f>AJ112*149</f>
        <v>116112.36</v>
      </c>
      <c r="BA112" s="54">
        <f>AV112*149</f>
        <v>116112.36</v>
      </c>
      <c r="BB112" s="203">
        <f t="shared" si="95"/>
        <v>232224.72</v>
      </c>
    </row>
    <row r="113" spans="1:57" ht="33.75" customHeight="1" thickBot="1">
      <c r="A113" s="746"/>
      <c r="B113" s="747"/>
      <c r="C113" s="263" t="e">
        <f>'расчет по услугам'!#REF!</f>
        <v>#REF!</v>
      </c>
      <c r="D113" s="190" t="s">
        <v>192</v>
      </c>
      <c r="E113" s="753" t="e">
        <f>'расчет по услугам'!#REF!</f>
        <v>#REF!</v>
      </c>
      <c r="F113" s="753"/>
      <c r="G113" s="191">
        <v>1</v>
      </c>
      <c r="H113" s="192" t="e">
        <f>F113*G113/#REF!</f>
        <v>#REF!</v>
      </c>
      <c r="I113" s="196">
        <f>217614.28*1.302</f>
        <v>283333.79256000003</v>
      </c>
      <c r="J113" s="204"/>
      <c r="K113" s="195" t="e">
        <f t="shared" ref="K113" si="99">H113*I113</f>
        <v>#REF!</v>
      </c>
      <c r="L113" s="205"/>
      <c r="M113" s="274"/>
      <c r="Q113" s="198" t="s">
        <v>51</v>
      </c>
      <c r="R113" s="167" t="s">
        <v>31</v>
      </c>
      <c r="S113" s="201">
        <f>1.5*0.5/149*T113</f>
        <v>0.24161073825503354</v>
      </c>
      <c r="T113" s="157">
        <f t="shared" si="96"/>
        <v>48</v>
      </c>
      <c r="U113" s="158">
        <v>1</v>
      </c>
      <c r="V113" s="170">
        <f>S113*U113/T113</f>
        <v>5.0335570469798654E-3</v>
      </c>
      <c r="W113" s="121">
        <f>217614.28*1.302</f>
        <v>283333.79256000003</v>
      </c>
      <c r="X113" s="30"/>
      <c r="Y113" s="46">
        <f t="shared" ref="Y113" si="100">V113*W113</f>
        <v>1426.1768081879195</v>
      </c>
      <c r="AA113" s="41">
        <v>4</v>
      </c>
      <c r="AB113" s="198" t="s">
        <v>51</v>
      </c>
      <c r="AC113" s="167" t="s">
        <v>31</v>
      </c>
      <c r="AD113" s="201">
        <f>1.5*0.5/149*AE113</f>
        <v>0.50838926174496646</v>
      </c>
      <c r="AE113" s="157">
        <f t="shared" si="97"/>
        <v>101</v>
      </c>
      <c r="AF113" s="158">
        <v>1</v>
      </c>
      <c r="AG113" s="170">
        <f>AD113*AF113/AE113</f>
        <v>5.0335570469798663E-3</v>
      </c>
      <c r="AH113" s="121">
        <f>217614.28*1.302</f>
        <v>283333.79256000003</v>
      </c>
      <c r="AI113" s="30"/>
      <c r="AJ113" s="46">
        <f t="shared" si="91"/>
        <v>1426.1768081879197</v>
      </c>
      <c r="AK113" s="27"/>
      <c r="AL113" s="153"/>
      <c r="AM113" s="41">
        <v>4</v>
      </c>
      <c r="AN113" s="198" t="s">
        <v>51</v>
      </c>
      <c r="AO113" s="167" t="s">
        <v>31</v>
      </c>
      <c r="AP113" s="201">
        <v>0.75</v>
      </c>
      <c r="AQ113" s="157">
        <f t="shared" si="98"/>
        <v>149</v>
      </c>
      <c r="AR113" s="158">
        <v>1</v>
      </c>
      <c r="AS113" s="170">
        <f>AP113*AR113/AQ113</f>
        <v>5.0335570469798654E-3</v>
      </c>
      <c r="AT113" s="121">
        <f>217614.28*1.302</f>
        <v>283333.79256000003</v>
      </c>
      <c r="AU113" s="30"/>
      <c r="AV113" s="46">
        <f>AS113*AT113</f>
        <v>1426.1768081879195</v>
      </c>
      <c r="AW113" s="27"/>
      <c r="AY113" s="17">
        <f>AJ113*149</f>
        <v>212500.34442000004</v>
      </c>
      <c r="BA113" s="38">
        <f>AV113*149</f>
        <v>212500.34442000001</v>
      </c>
      <c r="BB113" s="38">
        <f>AY113+BA113</f>
        <v>425000.68884000008</v>
      </c>
    </row>
    <row r="114" spans="1:57" ht="15" hidden="1" customHeight="1">
      <c r="A114" s="746"/>
      <c r="B114" s="747"/>
      <c r="C114" s="263" t="e">
        <f>'расчет по услугам'!#REF!</f>
        <v>#REF!</v>
      </c>
      <c r="D114" s="190" t="s">
        <v>192</v>
      </c>
      <c r="E114" s="753">
        <f>'[1]расчет свод'!S100</f>
        <v>0</v>
      </c>
      <c r="F114" s="753"/>
      <c r="G114" s="191"/>
      <c r="H114" s="192"/>
      <c r="I114" s="196"/>
      <c r="J114" s="204"/>
      <c r="K114" s="195"/>
      <c r="L114" s="205"/>
      <c r="M114" s="274"/>
      <c r="Q114" s="198"/>
      <c r="R114" s="167"/>
      <c r="S114" s="201"/>
      <c r="T114" s="157">
        <f t="shared" si="96"/>
        <v>48</v>
      </c>
      <c r="U114" s="158"/>
      <c r="V114" s="170"/>
      <c r="W114" s="121"/>
      <c r="X114" s="30"/>
      <c r="Y114" s="46"/>
      <c r="AA114" s="41"/>
      <c r="AB114" s="198"/>
      <c r="AC114" s="167"/>
      <c r="AD114" s="201"/>
      <c r="AE114" s="157">
        <f t="shared" si="97"/>
        <v>101</v>
      </c>
      <c r="AF114" s="158"/>
      <c r="AG114" s="170"/>
      <c r="AH114" s="121"/>
      <c r="AI114" s="30"/>
      <c r="AJ114" s="46"/>
      <c r="AK114" s="27"/>
      <c r="AL114" s="153"/>
      <c r="AM114" s="41"/>
      <c r="AN114" s="198"/>
      <c r="AO114" s="167"/>
      <c r="AP114" s="201"/>
      <c r="AQ114" s="157">
        <f t="shared" si="98"/>
        <v>149</v>
      </c>
      <c r="AR114" s="158"/>
      <c r="AS114" s="170"/>
      <c r="AT114" s="121"/>
      <c r="AU114" s="30"/>
      <c r="AV114" s="46"/>
      <c r="AW114" s="27"/>
      <c r="AY114" s="17">
        <f t="shared" ref="AY114:AY119" si="101">AJ114*135</f>
        <v>0</v>
      </c>
      <c r="BA114" s="38">
        <f t="shared" ref="BA114" si="102">AV114*135</f>
        <v>0</v>
      </c>
      <c r="BB114" s="38">
        <f t="shared" ref="BB114:BB118" si="103">AY114+BA114</f>
        <v>0</v>
      </c>
    </row>
    <row r="115" spans="1:57" ht="27" hidden="1" customHeight="1" thickBot="1">
      <c r="A115" s="746"/>
      <c r="B115" s="747"/>
      <c r="C115" s="321"/>
      <c r="D115" s="321"/>
      <c r="E115" s="258"/>
      <c r="F115" s="322"/>
      <c r="G115" s="191"/>
      <c r="H115" s="192"/>
      <c r="I115" s="196"/>
      <c r="J115" s="204"/>
      <c r="K115" s="195"/>
      <c r="L115" s="205"/>
      <c r="M115" s="276"/>
      <c r="Q115" s="208"/>
      <c r="R115" s="167"/>
      <c r="S115" s="201"/>
      <c r="T115" s="157"/>
      <c r="U115" s="158"/>
      <c r="V115" s="170"/>
      <c r="W115" s="121"/>
      <c r="X115" s="30"/>
      <c r="Y115" s="46"/>
      <c r="AA115" s="9"/>
      <c r="AB115" s="208"/>
      <c r="AC115" s="167"/>
      <c r="AD115" s="201"/>
      <c r="AE115" s="157"/>
      <c r="AF115" s="158"/>
      <c r="AG115" s="170"/>
      <c r="AH115" s="121"/>
      <c r="AI115" s="30"/>
      <c r="AJ115" s="46"/>
      <c r="AK115" s="27"/>
      <c r="AL115" s="206"/>
      <c r="AM115" s="9">
        <v>8</v>
      </c>
      <c r="AN115" s="207" t="s">
        <v>140</v>
      </c>
      <c r="AO115" s="167" t="s">
        <v>31</v>
      </c>
      <c r="AP115" s="201">
        <v>1.75</v>
      </c>
      <c r="AQ115" s="157" t="e">
        <f>#REF!</f>
        <v>#REF!</v>
      </c>
      <c r="AR115" s="158">
        <v>1</v>
      </c>
      <c r="AS115" s="170" t="e">
        <f t="shared" ref="AS115:AS118" si="104">AP115*AR115/AQ115</f>
        <v>#REF!</v>
      </c>
      <c r="AT115" s="121">
        <f>160817.28*1.302</f>
        <v>209384.09856000001</v>
      </c>
      <c r="AU115" s="30"/>
      <c r="AV115" s="46" t="e">
        <f>AS115*AT115</f>
        <v>#REF!</v>
      </c>
      <c r="AW115" s="27"/>
      <c r="AY115" s="17">
        <f t="shared" ref="AY115:AY118" si="105">AJ115*97</f>
        <v>0</v>
      </c>
      <c r="AZ115" s="24"/>
      <c r="BA115" s="38" t="e">
        <f t="shared" ref="BA115:BA118" si="106">AV115*149</f>
        <v>#REF!</v>
      </c>
      <c r="BB115" s="38" t="e">
        <f t="shared" si="103"/>
        <v>#REF!</v>
      </c>
      <c r="BC115" s="24"/>
    </row>
    <row r="116" spans="1:57" ht="27" hidden="1" customHeight="1" thickBot="1">
      <c r="A116" s="746"/>
      <c r="B116" s="747"/>
      <c r="C116" s="321"/>
      <c r="D116" s="321"/>
      <c r="E116" s="258"/>
      <c r="F116" s="322"/>
      <c r="G116" s="191"/>
      <c r="H116" s="192"/>
      <c r="I116" s="196"/>
      <c r="J116" s="204"/>
      <c r="K116" s="195"/>
      <c r="L116" s="205"/>
      <c r="M116" s="276"/>
      <c r="Q116" s="208"/>
      <c r="R116" s="167"/>
      <c r="S116" s="201"/>
      <c r="T116" s="157"/>
      <c r="U116" s="158"/>
      <c r="V116" s="170"/>
      <c r="W116" s="121"/>
      <c r="X116" s="30"/>
      <c r="Y116" s="46"/>
      <c r="AA116" s="9"/>
      <c r="AB116" s="208"/>
      <c r="AC116" s="167"/>
      <c r="AD116" s="201"/>
      <c r="AE116" s="157"/>
      <c r="AF116" s="158"/>
      <c r="AG116" s="170"/>
      <c r="AH116" s="121"/>
      <c r="AI116" s="30"/>
      <c r="AJ116" s="46"/>
      <c r="AK116" s="27"/>
      <c r="AL116" s="206"/>
      <c r="AM116" s="9">
        <v>9</v>
      </c>
      <c r="AN116" s="207" t="s">
        <v>235</v>
      </c>
      <c r="AO116" s="167" t="s">
        <v>31</v>
      </c>
      <c r="AP116" s="201">
        <v>0.5</v>
      </c>
      <c r="AQ116" s="157" t="e">
        <f t="shared" ref="AQ116:AQ118" si="107">AQ115</f>
        <v>#REF!</v>
      </c>
      <c r="AR116" s="158">
        <v>1</v>
      </c>
      <c r="AS116" s="170" t="e">
        <f t="shared" si="104"/>
        <v>#REF!</v>
      </c>
      <c r="AT116" s="121">
        <f>127534.68*1.302</f>
        <v>166050.15336</v>
      </c>
      <c r="AU116" s="30"/>
      <c r="AV116" s="46" t="e">
        <f>AS116*AT116</f>
        <v>#REF!</v>
      </c>
      <c r="AW116" s="27"/>
      <c r="AY116" s="17">
        <f t="shared" si="105"/>
        <v>0</v>
      </c>
      <c r="AZ116" s="24"/>
      <c r="BA116" s="38" t="e">
        <f t="shared" si="106"/>
        <v>#REF!</v>
      </c>
      <c r="BB116" s="38" t="e">
        <f t="shared" si="103"/>
        <v>#REF!</v>
      </c>
      <c r="BC116" s="24"/>
    </row>
    <row r="117" spans="1:57" ht="27" hidden="1" customHeight="1" thickBot="1">
      <c r="A117" s="746"/>
      <c r="B117" s="747"/>
      <c r="C117" s="321"/>
      <c r="D117" s="321"/>
      <c r="E117" s="258"/>
      <c r="F117" s="322"/>
      <c r="G117" s="191"/>
      <c r="H117" s="192"/>
      <c r="I117" s="196"/>
      <c r="J117" s="204"/>
      <c r="K117" s="195"/>
      <c r="L117" s="205"/>
      <c r="M117" s="276"/>
      <c r="Q117" s="208"/>
      <c r="R117" s="167"/>
      <c r="S117" s="201"/>
      <c r="T117" s="157"/>
      <c r="U117" s="158"/>
      <c r="V117" s="170"/>
      <c r="W117" s="121"/>
      <c r="X117" s="30"/>
      <c r="Y117" s="46"/>
      <c r="AA117" s="9"/>
      <c r="AB117" s="208"/>
      <c r="AC117" s="167"/>
      <c r="AD117" s="201"/>
      <c r="AE117" s="157"/>
      <c r="AF117" s="158"/>
      <c r="AG117" s="170"/>
      <c r="AH117" s="121"/>
      <c r="AI117" s="30"/>
      <c r="AJ117" s="46"/>
      <c r="AK117" s="27"/>
      <c r="AL117" s="206"/>
      <c r="AM117" s="9">
        <v>10</v>
      </c>
      <c r="AN117" s="207" t="s">
        <v>236</v>
      </c>
      <c r="AO117" s="167" t="s">
        <v>31</v>
      </c>
      <c r="AP117" s="201">
        <v>2.5</v>
      </c>
      <c r="AQ117" s="157" t="e">
        <f>AQ115</f>
        <v>#REF!</v>
      </c>
      <c r="AR117" s="158">
        <v>1</v>
      </c>
      <c r="AS117" s="170" t="e">
        <f t="shared" si="104"/>
        <v>#REF!</v>
      </c>
      <c r="AT117" s="121">
        <f>174164.74*1.302</f>
        <v>226762.49148</v>
      </c>
      <c r="AU117" s="30"/>
      <c r="AV117" s="46" t="e">
        <f t="shared" ref="AV117:AV118" si="108">AS117*AT117</f>
        <v>#REF!</v>
      </c>
      <c r="AW117" s="27"/>
      <c r="AY117" s="17">
        <f t="shared" si="105"/>
        <v>0</v>
      </c>
      <c r="AZ117" s="24"/>
      <c r="BA117" s="38" t="e">
        <f t="shared" si="106"/>
        <v>#REF!</v>
      </c>
      <c r="BB117" s="209" t="e">
        <f t="shared" si="103"/>
        <v>#REF!</v>
      </c>
      <c r="BC117" s="24"/>
    </row>
    <row r="118" spans="1:57" ht="27" hidden="1" customHeight="1" thickBot="1">
      <c r="A118" s="746"/>
      <c r="B118" s="747"/>
      <c r="C118" s="321"/>
      <c r="D118" s="321"/>
      <c r="E118" s="258"/>
      <c r="F118" s="322"/>
      <c r="G118" s="191"/>
      <c r="H118" s="192"/>
      <c r="I118" s="196"/>
      <c r="J118" s="204"/>
      <c r="K118" s="195"/>
      <c r="L118" s="205"/>
      <c r="M118" s="276"/>
      <c r="Q118" s="208"/>
      <c r="R118" s="167"/>
      <c r="S118" s="201"/>
      <c r="T118" s="157"/>
      <c r="U118" s="158"/>
      <c r="V118" s="170"/>
      <c r="W118" s="121"/>
      <c r="X118" s="30"/>
      <c r="Y118" s="46"/>
      <c r="AA118" s="9"/>
      <c r="AB118" s="208"/>
      <c r="AC118" s="167"/>
      <c r="AD118" s="201"/>
      <c r="AE118" s="157"/>
      <c r="AF118" s="158"/>
      <c r="AG118" s="170"/>
      <c r="AH118" s="121"/>
      <c r="AI118" s="30"/>
      <c r="AJ118" s="46"/>
      <c r="AK118" s="27"/>
      <c r="AL118" s="206"/>
      <c r="AM118" s="9">
        <v>11</v>
      </c>
      <c r="AN118" s="154" t="s">
        <v>237</v>
      </c>
      <c r="AO118" s="167" t="s">
        <v>31</v>
      </c>
      <c r="AP118" s="201">
        <v>2</v>
      </c>
      <c r="AQ118" s="157" t="e">
        <f t="shared" si="107"/>
        <v>#REF!</v>
      </c>
      <c r="AR118" s="158">
        <v>1</v>
      </c>
      <c r="AS118" s="170" t="e">
        <f t="shared" si="104"/>
        <v>#REF!</v>
      </c>
      <c r="AT118" s="121">
        <f>140317.32*1.302</f>
        <v>182693.15064000001</v>
      </c>
      <c r="AU118" s="30"/>
      <c r="AV118" s="46" t="e">
        <f t="shared" si="108"/>
        <v>#REF!</v>
      </c>
      <c r="AW118" s="27"/>
      <c r="AY118" s="17">
        <f t="shared" si="105"/>
        <v>0</v>
      </c>
      <c r="AZ118" s="24" t="e">
        <f>#REF!*2</f>
        <v>#REF!</v>
      </c>
      <c r="BA118" s="38" t="e">
        <f t="shared" si="106"/>
        <v>#REF!</v>
      </c>
      <c r="BB118" s="38" t="e">
        <f t="shared" si="103"/>
        <v>#REF!</v>
      </c>
      <c r="BD118" s="5">
        <v>4172304</v>
      </c>
    </row>
    <row r="119" spans="1:57" ht="15.75" hidden="1" customHeight="1" thickBot="1">
      <c r="A119" s="746"/>
      <c r="B119" s="747"/>
      <c r="C119" s="323"/>
      <c r="D119" s="323"/>
      <c r="E119" s="261"/>
      <c r="F119" s="324"/>
      <c r="G119" s="312"/>
      <c r="H119" s="313"/>
      <c r="I119" s="325"/>
      <c r="J119" s="204"/>
      <c r="K119" s="195"/>
      <c r="L119" s="205"/>
      <c r="M119" s="274"/>
      <c r="Q119" s="210"/>
      <c r="R119" s="41"/>
      <c r="S119" s="42"/>
      <c r="T119" s="43"/>
      <c r="U119" s="44"/>
      <c r="V119" s="45"/>
      <c r="W119" s="211"/>
      <c r="X119" s="30"/>
      <c r="Y119" s="46"/>
      <c r="AA119" s="41"/>
      <c r="AB119" s="210"/>
      <c r="AC119" s="41"/>
      <c r="AD119" s="42"/>
      <c r="AE119" s="43"/>
      <c r="AF119" s="44"/>
      <c r="AG119" s="45"/>
      <c r="AH119" s="211"/>
      <c r="AI119" s="30"/>
      <c r="AJ119" s="46"/>
      <c r="AK119" s="27"/>
      <c r="AL119" s="153"/>
      <c r="AM119" s="41"/>
      <c r="AN119" s="210"/>
      <c r="AO119" s="41"/>
      <c r="AP119" s="42"/>
      <c r="AQ119" s="43"/>
      <c r="AR119" s="44"/>
      <c r="AS119" s="45"/>
      <c r="AT119" s="211"/>
      <c r="AU119" s="30"/>
      <c r="AV119" s="46"/>
      <c r="AW119" s="27"/>
      <c r="AY119" s="17">
        <f t="shared" si="101"/>
        <v>0</v>
      </c>
    </row>
    <row r="120" spans="1:57" ht="15.75" hidden="1" customHeight="1" thickBot="1">
      <c r="A120" s="746"/>
      <c r="B120" s="747"/>
      <c r="C120" s="810"/>
      <c r="D120" s="810"/>
      <c r="E120" s="810"/>
      <c r="F120" s="810"/>
      <c r="G120" s="810"/>
      <c r="H120" s="810"/>
      <c r="I120" s="810"/>
      <c r="J120" s="810"/>
      <c r="K120" s="246" t="e">
        <f>SUM(K110:K119)</f>
        <v>#REF!</v>
      </c>
      <c r="L120" s="205"/>
      <c r="M120" s="275"/>
      <c r="Q120" s="68"/>
      <c r="R120" s="68"/>
      <c r="S120" s="68"/>
      <c r="T120" s="68"/>
      <c r="U120" s="68"/>
      <c r="V120" s="68"/>
      <c r="W120" s="68"/>
      <c r="X120" s="68"/>
      <c r="Y120" s="175">
        <f>SUM(Y110:Y119)</f>
        <v>5613.0898618791944</v>
      </c>
      <c r="AA120" s="811" t="s">
        <v>27</v>
      </c>
      <c r="AB120" s="812"/>
      <c r="AC120" s="812"/>
      <c r="AD120" s="812"/>
      <c r="AE120" s="812"/>
      <c r="AF120" s="812"/>
      <c r="AG120" s="812"/>
      <c r="AH120" s="812"/>
      <c r="AI120" s="813"/>
      <c r="AJ120" s="175">
        <f>SUM(AJ110:AJ119)</f>
        <v>5613.0898618791953</v>
      </c>
      <c r="AK120" s="27"/>
      <c r="AL120" s="162"/>
      <c r="AM120" s="811" t="s">
        <v>27</v>
      </c>
      <c r="AN120" s="812"/>
      <c r="AO120" s="812"/>
      <c r="AP120" s="812"/>
      <c r="AQ120" s="812"/>
      <c r="AR120" s="812"/>
      <c r="AS120" s="812"/>
      <c r="AT120" s="812"/>
      <c r="AU120" s="813"/>
      <c r="AV120" s="175" t="e">
        <f>SUM(AV110:AV119)</f>
        <v>#REF!</v>
      </c>
      <c r="AW120" s="27"/>
      <c r="AY120" s="212">
        <f>AY110+AY111+AY112</f>
        <v>623850.04500000004</v>
      </c>
      <c r="AZ120" s="213">
        <f>AY120*2</f>
        <v>1247700.0900000001</v>
      </c>
      <c r="BA120" s="214">
        <f>BA110+BA111+BA112</f>
        <v>623850.04500000004</v>
      </c>
      <c r="BB120" s="215">
        <f>AY120+BA120</f>
        <v>1247700.0900000001</v>
      </c>
      <c r="BC120" s="216" t="s">
        <v>186</v>
      </c>
      <c r="BD120" s="24">
        <f>BB120+BA19</f>
        <v>4172303.9841</v>
      </c>
      <c r="BE120" s="217">
        <f>BD118-BD120</f>
        <v>1.5899999998509884E-2</v>
      </c>
    </row>
    <row r="121" spans="1:57" s="55" customFormat="1" ht="24" customHeight="1" thickBot="1">
      <c r="A121" s="746"/>
      <c r="B121" s="747"/>
      <c r="C121" s="749" t="s">
        <v>65</v>
      </c>
      <c r="D121" s="749"/>
      <c r="E121" s="749"/>
      <c r="F121" s="749"/>
      <c r="G121" s="749"/>
      <c r="H121" s="749"/>
      <c r="I121" s="749"/>
      <c r="J121" s="749"/>
      <c r="K121" s="749"/>
      <c r="L121" s="749"/>
      <c r="M121" s="180"/>
      <c r="P121" s="181"/>
      <c r="Q121" s="181"/>
      <c r="R121" s="181"/>
      <c r="S121" s="181"/>
      <c r="T121" s="181"/>
      <c r="U121" s="181"/>
      <c r="V121" s="181"/>
      <c r="W121" s="181"/>
      <c r="X121" s="181"/>
      <c r="Y121" s="181"/>
      <c r="Z121" s="33"/>
      <c r="AA121" s="815" t="s">
        <v>65</v>
      </c>
      <c r="AB121" s="816"/>
      <c r="AC121" s="816"/>
      <c r="AD121" s="816"/>
      <c r="AE121" s="816"/>
      <c r="AF121" s="816"/>
      <c r="AG121" s="816"/>
      <c r="AH121" s="816"/>
      <c r="AI121" s="816"/>
      <c r="AJ121" s="816"/>
      <c r="AK121" s="817"/>
      <c r="AL121" s="180"/>
      <c r="AM121" s="815" t="s">
        <v>65</v>
      </c>
      <c r="AN121" s="816"/>
      <c r="AO121" s="816"/>
      <c r="AP121" s="816"/>
      <c r="AQ121" s="816"/>
      <c r="AR121" s="816"/>
      <c r="AS121" s="816"/>
      <c r="AT121" s="816"/>
      <c r="AU121" s="816"/>
      <c r="AV121" s="816"/>
      <c r="AW121" s="817"/>
      <c r="AY121" s="218" t="e">
        <f>AY113+#REF!+#REF!+#REF!+AY117+AY118+AY115</f>
        <v>#REF!</v>
      </c>
      <c r="AZ121" s="219"/>
      <c r="BA121" s="220" t="e">
        <f>BA113+#REF!+#REF!+#REF!+BA117+BA118+BA115+BA116</f>
        <v>#REF!</v>
      </c>
      <c r="BB121" s="221" t="e">
        <f>AY121+BA121</f>
        <v>#REF!</v>
      </c>
      <c r="BC121" s="222" t="s">
        <v>238</v>
      </c>
      <c r="BD121" s="223" t="e">
        <f>BD122-BB121</f>
        <v>#REF!</v>
      </c>
    </row>
    <row r="122" spans="1:57" ht="30" customHeight="1">
      <c r="A122" s="746"/>
      <c r="B122" s="747"/>
      <c r="C122" s="235" t="e">
        <f>'расчет по услугам'!#REF!</f>
        <v>#REF!</v>
      </c>
      <c r="D122" s="224" t="s">
        <v>130</v>
      </c>
      <c r="E122" s="753" t="e">
        <f>'расчет по услугам'!#REF!</f>
        <v>#REF!</v>
      </c>
      <c r="F122" s="753"/>
      <c r="G122" s="191">
        <v>1</v>
      </c>
      <c r="H122" s="192" t="e">
        <f>F122*G122/#REF!</f>
        <v>#REF!</v>
      </c>
      <c r="I122" s="225">
        <v>16000</v>
      </c>
      <c r="J122" s="204"/>
      <c r="K122" s="195" t="e">
        <f t="shared" ref="K122:K141" si="109">H122*I122</f>
        <v>#REF!</v>
      </c>
      <c r="L122" s="205"/>
      <c r="M122" s="274"/>
      <c r="Q122" s="226" t="s">
        <v>114</v>
      </c>
      <c r="R122" s="226" t="s">
        <v>52</v>
      </c>
      <c r="S122" s="227">
        <f t="shared" ref="S122:S132" si="110">0.5/149*T122</f>
        <v>0.16107382550335569</v>
      </c>
      <c r="T122" s="228">
        <v>48</v>
      </c>
      <c r="U122" s="191">
        <v>1</v>
      </c>
      <c r="V122" s="192">
        <f t="shared" ref="V122:V131" si="111">S122*U122/T122</f>
        <v>3.3557046979865771E-3</v>
      </c>
      <c r="W122" s="225">
        <v>16000</v>
      </c>
      <c r="X122" s="204"/>
      <c r="Y122" s="195">
        <f t="shared" ref="Y122:Y141" si="112">V122*W122</f>
        <v>53.691275167785236</v>
      </c>
      <c r="AA122" s="205">
        <v>1</v>
      </c>
      <c r="AB122" s="226" t="s">
        <v>114</v>
      </c>
      <c r="AC122" s="226" t="s">
        <v>52</v>
      </c>
      <c r="AD122" s="227">
        <f t="shared" ref="AD122:AD132" si="113">0.5/149*AE122</f>
        <v>0.33892617449664431</v>
      </c>
      <c r="AE122" s="228">
        <v>101</v>
      </c>
      <c r="AF122" s="191">
        <v>1</v>
      </c>
      <c r="AG122" s="192">
        <f t="shared" ref="AG122:AG131" si="114">AD122*AF122/AE122</f>
        <v>3.3557046979865771E-3</v>
      </c>
      <c r="AH122" s="225">
        <v>16000</v>
      </c>
      <c r="AI122" s="204"/>
      <c r="AJ122" s="195">
        <f t="shared" ref="AJ122:AJ145" si="115">AG122*AH122</f>
        <v>53.691275167785236</v>
      </c>
      <c r="AK122" s="205"/>
      <c r="AL122" s="197"/>
      <c r="AM122" s="205">
        <v>1</v>
      </c>
      <c r="AN122" s="226" t="s">
        <v>114</v>
      </c>
      <c r="AO122" s="229" t="s">
        <v>52</v>
      </c>
      <c r="AP122" s="227">
        <v>0.5</v>
      </c>
      <c r="AQ122" s="228">
        <v>149</v>
      </c>
      <c r="AR122" s="191">
        <v>1</v>
      </c>
      <c r="AS122" s="192">
        <f t="shared" ref="AS122:AS140" si="116">AP122*AR122/AQ122</f>
        <v>3.3557046979865771E-3</v>
      </c>
      <c r="AT122" s="225">
        <v>16000</v>
      </c>
      <c r="AU122" s="204"/>
      <c r="AV122" s="195">
        <f t="shared" ref="AV122:AV136" si="117">AS122*AT122</f>
        <v>53.691275167785236</v>
      </c>
      <c r="AW122" s="205"/>
      <c r="AX122" s="5">
        <v>340</v>
      </c>
      <c r="AY122" s="230">
        <f>AJ122*149</f>
        <v>8000</v>
      </c>
      <c r="AZ122" s="231">
        <f>AV122*149</f>
        <v>8000</v>
      </c>
      <c r="BA122" s="232">
        <f>AY122+AZ122</f>
        <v>16000</v>
      </c>
      <c r="BB122" s="39"/>
      <c r="BD122" s="24">
        <v>3023503.9</v>
      </c>
    </row>
    <row r="123" spans="1:57" ht="30" hidden="1" customHeight="1">
      <c r="A123" s="746"/>
      <c r="B123" s="747"/>
      <c r="C123" s="235" t="e">
        <f>'расчет по услугам'!#REF!</f>
        <v>#REF!</v>
      </c>
      <c r="D123" s="224" t="s">
        <v>130</v>
      </c>
      <c r="E123" s="753" t="e">
        <f>'расчет по услугам'!#REF!</f>
        <v>#REF!</v>
      </c>
      <c r="F123" s="753"/>
      <c r="G123" s="191">
        <v>1</v>
      </c>
      <c r="H123" s="192" t="e">
        <f>F123*G123/#REF!</f>
        <v>#REF!</v>
      </c>
      <c r="I123" s="225">
        <v>100000</v>
      </c>
      <c r="J123" s="204"/>
      <c r="K123" s="195" t="e">
        <f t="shared" si="109"/>
        <v>#REF!</v>
      </c>
      <c r="L123" s="205"/>
      <c r="M123" s="274"/>
      <c r="Q123" s="226" t="s">
        <v>239</v>
      </c>
      <c r="R123" s="226" t="s">
        <v>52</v>
      </c>
      <c r="S123" s="227">
        <f t="shared" si="110"/>
        <v>0.16107382550335569</v>
      </c>
      <c r="T123" s="228">
        <f>T122</f>
        <v>48</v>
      </c>
      <c r="U123" s="191">
        <v>1</v>
      </c>
      <c r="V123" s="192">
        <f t="shared" si="111"/>
        <v>3.3557046979865771E-3</v>
      </c>
      <c r="W123" s="225">
        <v>100000</v>
      </c>
      <c r="X123" s="204"/>
      <c r="Y123" s="195">
        <f t="shared" si="112"/>
        <v>335.57046979865771</v>
      </c>
      <c r="AA123" s="205">
        <v>2</v>
      </c>
      <c r="AB123" s="226" t="s">
        <v>239</v>
      </c>
      <c r="AC123" s="226" t="s">
        <v>52</v>
      </c>
      <c r="AD123" s="227">
        <f t="shared" si="113"/>
        <v>0.33892617449664431</v>
      </c>
      <c r="AE123" s="228">
        <f>AE122</f>
        <v>101</v>
      </c>
      <c r="AF123" s="191">
        <v>1</v>
      </c>
      <c r="AG123" s="192">
        <f t="shared" si="114"/>
        <v>3.3557046979865771E-3</v>
      </c>
      <c r="AH123" s="225">
        <v>100000</v>
      </c>
      <c r="AI123" s="204"/>
      <c r="AJ123" s="195">
        <f t="shared" si="115"/>
        <v>335.57046979865771</v>
      </c>
      <c r="AK123" s="205"/>
      <c r="AL123" s="197"/>
      <c r="AM123" s="205">
        <v>2</v>
      </c>
      <c r="AN123" s="226" t="s">
        <v>239</v>
      </c>
      <c r="AO123" s="229" t="s">
        <v>52</v>
      </c>
      <c r="AP123" s="227">
        <v>0.5</v>
      </c>
      <c r="AQ123" s="228">
        <f>AQ122</f>
        <v>149</v>
      </c>
      <c r="AR123" s="191">
        <v>1</v>
      </c>
      <c r="AS123" s="192">
        <f t="shared" si="116"/>
        <v>3.3557046979865771E-3</v>
      </c>
      <c r="AT123" s="225">
        <v>100000</v>
      </c>
      <c r="AU123" s="204"/>
      <c r="AV123" s="195">
        <f t="shared" si="117"/>
        <v>335.57046979865771</v>
      </c>
      <c r="AW123" s="205"/>
      <c r="AX123" s="5">
        <v>340</v>
      </c>
      <c r="AY123" s="233">
        <f>AJ123*149</f>
        <v>50000</v>
      </c>
      <c r="AZ123" s="231">
        <f t="shared" ref="AZ123:AZ145" si="118">AV123*149</f>
        <v>50000</v>
      </c>
      <c r="BA123" s="232">
        <f t="shared" ref="BA123:BA145" si="119">AY123+AZ123</f>
        <v>100000</v>
      </c>
      <c r="BB123" s="39" t="s">
        <v>197</v>
      </c>
    </row>
    <row r="124" spans="1:57" ht="30" hidden="1" customHeight="1">
      <c r="A124" s="746"/>
      <c r="B124" s="747"/>
      <c r="C124" s="235" t="e">
        <f>'расчет по услугам'!#REF!</f>
        <v>#REF!</v>
      </c>
      <c r="D124" s="224" t="s">
        <v>130</v>
      </c>
      <c r="E124" s="753" t="e">
        <f>'расчет по услугам'!#REF!</f>
        <v>#REF!</v>
      </c>
      <c r="F124" s="753"/>
      <c r="G124" s="191">
        <v>1</v>
      </c>
      <c r="H124" s="192" t="e">
        <f>F124*G124/#REF!</f>
        <v>#REF!</v>
      </c>
      <c r="I124" s="225">
        <v>5000</v>
      </c>
      <c r="J124" s="204"/>
      <c r="K124" s="195" t="e">
        <f t="shared" si="109"/>
        <v>#REF!</v>
      </c>
      <c r="L124" s="205"/>
      <c r="M124" s="274"/>
      <c r="Q124" s="226" t="s">
        <v>115</v>
      </c>
      <c r="R124" s="226" t="s">
        <v>52</v>
      </c>
      <c r="S124" s="227">
        <f t="shared" si="110"/>
        <v>0.16107382550335569</v>
      </c>
      <c r="T124" s="228">
        <f t="shared" ref="T124:T145" si="120">T123</f>
        <v>48</v>
      </c>
      <c r="U124" s="191">
        <v>1</v>
      </c>
      <c r="V124" s="192">
        <f t="shared" si="111"/>
        <v>3.3557046979865771E-3</v>
      </c>
      <c r="W124" s="225">
        <v>5000</v>
      </c>
      <c r="X124" s="204"/>
      <c r="Y124" s="195">
        <f t="shared" si="112"/>
        <v>16.778523489932887</v>
      </c>
      <c r="AA124" s="205">
        <v>3</v>
      </c>
      <c r="AB124" s="226" t="s">
        <v>115</v>
      </c>
      <c r="AC124" s="226" t="s">
        <v>52</v>
      </c>
      <c r="AD124" s="227">
        <f t="shared" si="113"/>
        <v>0.33892617449664431</v>
      </c>
      <c r="AE124" s="228">
        <f t="shared" ref="AE124:AE145" si="121">AE123</f>
        <v>101</v>
      </c>
      <c r="AF124" s="191">
        <v>1</v>
      </c>
      <c r="AG124" s="192">
        <f t="shared" si="114"/>
        <v>3.3557046979865771E-3</v>
      </c>
      <c r="AH124" s="225">
        <v>5000</v>
      </c>
      <c r="AI124" s="204"/>
      <c r="AJ124" s="195">
        <f t="shared" si="115"/>
        <v>16.778523489932887</v>
      </c>
      <c r="AK124" s="205"/>
      <c r="AL124" s="197"/>
      <c r="AM124" s="205">
        <v>3</v>
      </c>
      <c r="AN124" s="226" t="s">
        <v>115</v>
      </c>
      <c r="AO124" s="229" t="s">
        <v>52</v>
      </c>
      <c r="AP124" s="227">
        <v>0.5</v>
      </c>
      <c r="AQ124" s="228">
        <f t="shared" ref="AQ124:AQ141" si="122">AQ123</f>
        <v>149</v>
      </c>
      <c r="AR124" s="191">
        <v>1</v>
      </c>
      <c r="AS124" s="192">
        <f t="shared" si="116"/>
        <v>3.3557046979865771E-3</v>
      </c>
      <c r="AT124" s="225">
        <v>5000</v>
      </c>
      <c r="AU124" s="204"/>
      <c r="AV124" s="195">
        <f t="shared" si="117"/>
        <v>16.778523489932887</v>
      </c>
      <c r="AW124" s="205"/>
      <c r="AX124" s="5">
        <v>226</v>
      </c>
      <c r="AY124" s="233">
        <f t="shared" ref="AY124:AY145" si="123">AJ124*149</f>
        <v>2500</v>
      </c>
      <c r="AZ124" s="231">
        <f t="shared" si="118"/>
        <v>2500</v>
      </c>
      <c r="BA124" s="234">
        <f t="shared" si="119"/>
        <v>5000</v>
      </c>
      <c r="BB124" s="39" t="s">
        <v>240</v>
      </c>
    </row>
    <row r="125" spans="1:57" ht="30" customHeight="1">
      <c r="A125" s="746"/>
      <c r="B125" s="747"/>
      <c r="C125" s="235" t="e">
        <f>'расчет по услугам'!#REF!</f>
        <v>#REF!</v>
      </c>
      <c r="D125" s="224" t="s">
        <v>130</v>
      </c>
      <c r="E125" s="753" t="e">
        <f>'расчет по услугам'!#REF!</f>
        <v>#REF!</v>
      </c>
      <c r="F125" s="753"/>
      <c r="G125" s="191">
        <v>1</v>
      </c>
      <c r="H125" s="192" t="e">
        <f>F125*G125/#REF!</f>
        <v>#REF!</v>
      </c>
      <c r="I125" s="225">
        <v>145000</v>
      </c>
      <c r="J125" s="204"/>
      <c r="K125" s="195" t="e">
        <f t="shared" si="109"/>
        <v>#REF!</v>
      </c>
      <c r="L125" s="205"/>
      <c r="M125" s="274"/>
      <c r="Q125" s="226" t="s">
        <v>98</v>
      </c>
      <c r="R125" s="226" t="s">
        <v>52</v>
      </c>
      <c r="S125" s="227">
        <f t="shared" si="110"/>
        <v>0.16107382550335569</v>
      </c>
      <c r="T125" s="228">
        <f t="shared" si="120"/>
        <v>48</v>
      </c>
      <c r="U125" s="191">
        <v>1</v>
      </c>
      <c r="V125" s="192">
        <f t="shared" si="111"/>
        <v>3.3557046979865771E-3</v>
      </c>
      <c r="W125" s="225">
        <v>145000</v>
      </c>
      <c r="X125" s="204"/>
      <c r="Y125" s="195">
        <f t="shared" si="112"/>
        <v>486.57718120805367</v>
      </c>
      <c r="AA125" s="205">
        <v>4</v>
      </c>
      <c r="AB125" s="226" t="s">
        <v>98</v>
      </c>
      <c r="AC125" s="226" t="s">
        <v>52</v>
      </c>
      <c r="AD125" s="227">
        <f t="shared" si="113"/>
        <v>0.33892617449664431</v>
      </c>
      <c r="AE125" s="228">
        <f t="shared" si="121"/>
        <v>101</v>
      </c>
      <c r="AF125" s="191">
        <v>1</v>
      </c>
      <c r="AG125" s="192">
        <f t="shared" si="114"/>
        <v>3.3557046979865771E-3</v>
      </c>
      <c r="AH125" s="225">
        <v>145000</v>
      </c>
      <c r="AI125" s="204"/>
      <c r="AJ125" s="195">
        <f t="shared" si="115"/>
        <v>486.57718120805367</v>
      </c>
      <c r="AK125" s="205"/>
      <c r="AL125" s="197"/>
      <c r="AM125" s="205">
        <v>4</v>
      </c>
      <c r="AN125" s="226" t="s">
        <v>98</v>
      </c>
      <c r="AO125" s="229" t="s">
        <v>52</v>
      </c>
      <c r="AP125" s="227">
        <v>0.5</v>
      </c>
      <c r="AQ125" s="228">
        <f t="shared" si="122"/>
        <v>149</v>
      </c>
      <c r="AR125" s="191">
        <v>1</v>
      </c>
      <c r="AS125" s="192">
        <f t="shared" si="116"/>
        <v>3.3557046979865771E-3</v>
      </c>
      <c r="AT125" s="225">
        <v>145000</v>
      </c>
      <c r="AU125" s="204"/>
      <c r="AV125" s="195">
        <f t="shared" si="117"/>
        <v>486.57718120805367</v>
      </c>
      <c r="AW125" s="205"/>
      <c r="AX125" s="5">
        <v>226</v>
      </c>
      <c r="AY125" s="233">
        <f t="shared" si="123"/>
        <v>72500</v>
      </c>
      <c r="AZ125" s="231">
        <f t="shared" si="118"/>
        <v>72500</v>
      </c>
      <c r="BA125" s="234">
        <f t="shared" si="119"/>
        <v>145000</v>
      </c>
      <c r="BB125" s="39" t="s">
        <v>240</v>
      </c>
    </row>
    <row r="126" spans="1:57" ht="30" customHeight="1">
      <c r="A126" s="746"/>
      <c r="B126" s="747"/>
      <c r="C126" s="235" t="e">
        <f>'расчет по услугам'!#REF!</f>
        <v>#REF!</v>
      </c>
      <c r="D126" s="224" t="s">
        <v>130</v>
      </c>
      <c r="E126" s="753" t="e">
        <f>'расчет по услугам'!#REF!</f>
        <v>#REF!</v>
      </c>
      <c r="F126" s="753"/>
      <c r="G126" s="191">
        <v>1</v>
      </c>
      <c r="H126" s="192" t="e">
        <f>F126*G126/#REF!</f>
        <v>#REF!</v>
      </c>
      <c r="I126" s="235">
        <v>8000</v>
      </c>
      <c r="J126" s="204"/>
      <c r="K126" s="195" t="e">
        <f t="shared" si="109"/>
        <v>#REF!</v>
      </c>
      <c r="L126" s="205"/>
      <c r="M126" s="274"/>
      <c r="Q126" s="226" t="s">
        <v>116</v>
      </c>
      <c r="R126" s="226" t="s">
        <v>52</v>
      </c>
      <c r="S126" s="227">
        <f t="shared" si="110"/>
        <v>0.16107382550335569</v>
      </c>
      <c r="T126" s="228">
        <f t="shared" si="120"/>
        <v>48</v>
      </c>
      <c r="U126" s="191">
        <v>1</v>
      </c>
      <c r="V126" s="192">
        <f t="shared" si="111"/>
        <v>3.3557046979865771E-3</v>
      </c>
      <c r="W126" s="235">
        <v>8000</v>
      </c>
      <c r="X126" s="204"/>
      <c r="Y126" s="195">
        <f t="shared" si="112"/>
        <v>26.845637583892618</v>
      </c>
      <c r="AA126" s="205">
        <v>5</v>
      </c>
      <c r="AB126" s="226" t="s">
        <v>116</v>
      </c>
      <c r="AC126" s="226" t="s">
        <v>52</v>
      </c>
      <c r="AD126" s="227">
        <f t="shared" si="113"/>
        <v>0.33892617449664431</v>
      </c>
      <c r="AE126" s="228">
        <f t="shared" si="121"/>
        <v>101</v>
      </c>
      <c r="AF126" s="191">
        <v>1</v>
      </c>
      <c r="AG126" s="192">
        <f t="shared" si="114"/>
        <v>3.3557046979865771E-3</v>
      </c>
      <c r="AH126" s="235">
        <v>8000</v>
      </c>
      <c r="AI126" s="204"/>
      <c r="AJ126" s="195">
        <f t="shared" si="115"/>
        <v>26.845637583892618</v>
      </c>
      <c r="AK126" s="205"/>
      <c r="AL126" s="197"/>
      <c r="AM126" s="205">
        <v>5</v>
      </c>
      <c r="AN126" s="226" t="s">
        <v>116</v>
      </c>
      <c r="AO126" s="226" t="s">
        <v>52</v>
      </c>
      <c r="AP126" s="227">
        <v>0.5</v>
      </c>
      <c r="AQ126" s="228">
        <f t="shared" si="122"/>
        <v>149</v>
      </c>
      <c r="AR126" s="191">
        <v>1</v>
      </c>
      <c r="AS126" s="192">
        <f t="shared" si="116"/>
        <v>3.3557046979865771E-3</v>
      </c>
      <c r="AT126" s="235">
        <v>8000</v>
      </c>
      <c r="AU126" s="204"/>
      <c r="AV126" s="195">
        <f t="shared" si="117"/>
        <v>26.845637583892618</v>
      </c>
      <c r="AW126" s="205"/>
      <c r="AX126" s="5">
        <v>226</v>
      </c>
      <c r="AY126" s="233">
        <f t="shared" si="123"/>
        <v>4000</v>
      </c>
      <c r="AZ126" s="231">
        <f t="shared" si="118"/>
        <v>4000</v>
      </c>
      <c r="BA126" s="234">
        <f t="shared" si="119"/>
        <v>8000</v>
      </c>
      <c r="BB126" s="39" t="s">
        <v>240</v>
      </c>
    </row>
    <row r="127" spans="1:57" ht="30" customHeight="1">
      <c r="A127" s="746"/>
      <c r="B127" s="747"/>
      <c r="C127" s="235" t="e">
        <f>'расчет по услугам'!#REF!</f>
        <v>#REF!</v>
      </c>
      <c r="D127" s="224" t="s">
        <v>130</v>
      </c>
      <c r="E127" s="753" t="e">
        <f>'расчет по услугам'!#REF!</f>
        <v>#REF!</v>
      </c>
      <c r="F127" s="753"/>
      <c r="G127" s="191">
        <v>1</v>
      </c>
      <c r="H127" s="192" t="e">
        <f>F127*G127/#REF!</f>
        <v>#REF!</v>
      </c>
      <c r="I127" s="225">
        <v>100000</v>
      </c>
      <c r="J127" s="204"/>
      <c r="K127" s="195" t="e">
        <f t="shared" si="109"/>
        <v>#REF!</v>
      </c>
      <c r="L127" s="205"/>
      <c r="M127" s="274"/>
      <c r="Q127" s="226" t="s">
        <v>241</v>
      </c>
      <c r="R127" s="226" t="s">
        <v>52</v>
      </c>
      <c r="S127" s="227">
        <f t="shared" si="110"/>
        <v>0.16107382550335569</v>
      </c>
      <c r="T127" s="228">
        <f t="shared" si="120"/>
        <v>48</v>
      </c>
      <c r="U127" s="191">
        <v>1</v>
      </c>
      <c r="V127" s="192">
        <f t="shared" si="111"/>
        <v>3.3557046979865771E-3</v>
      </c>
      <c r="W127" s="225">
        <v>100000</v>
      </c>
      <c r="X127" s="204"/>
      <c r="Y127" s="195">
        <f t="shared" si="112"/>
        <v>335.57046979865771</v>
      </c>
      <c r="AA127" s="205">
        <v>6</v>
      </c>
      <c r="AB127" s="226" t="s">
        <v>241</v>
      </c>
      <c r="AC127" s="226" t="s">
        <v>52</v>
      </c>
      <c r="AD127" s="227">
        <f t="shared" si="113"/>
        <v>0.33892617449664431</v>
      </c>
      <c r="AE127" s="228">
        <f t="shared" si="121"/>
        <v>101</v>
      </c>
      <c r="AF127" s="191">
        <v>1</v>
      </c>
      <c r="AG127" s="192">
        <f t="shared" si="114"/>
        <v>3.3557046979865771E-3</v>
      </c>
      <c r="AH127" s="225">
        <v>100000</v>
      </c>
      <c r="AI127" s="204"/>
      <c r="AJ127" s="195">
        <f t="shared" si="115"/>
        <v>335.57046979865771</v>
      </c>
      <c r="AK127" s="205"/>
      <c r="AL127" s="197"/>
      <c r="AM127" s="205">
        <v>6</v>
      </c>
      <c r="AN127" s="226" t="s">
        <v>241</v>
      </c>
      <c r="AO127" s="229" t="s">
        <v>52</v>
      </c>
      <c r="AP127" s="236">
        <v>0.5</v>
      </c>
      <c r="AQ127" s="228">
        <f t="shared" si="122"/>
        <v>149</v>
      </c>
      <c r="AR127" s="191">
        <v>1</v>
      </c>
      <c r="AS127" s="192">
        <f t="shared" si="116"/>
        <v>3.3557046979865771E-3</v>
      </c>
      <c r="AT127" s="225">
        <v>100000</v>
      </c>
      <c r="AU127" s="204"/>
      <c r="AV127" s="195">
        <f t="shared" si="117"/>
        <v>335.57046979865771</v>
      </c>
      <c r="AW127" s="205"/>
      <c r="AX127" s="5">
        <v>226</v>
      </c>
      <c r="AY127" s="233">
        <f t="shared" si="123"/>
        <v>50000</v>
      </c>
      <c r="AZ127" s="231">
        <f t="shared" si="118"/>
        <v>50000</v>
      </c>
      <c r="BA127" s="234">
        <f t="shared" si="119"/>
        <v>100000</v>
      </c>
      <c r="BB127" s="39" t="s">
        <v>240</v>
      </c>
    </row>
    <row r="128" spans="1:57" ht="30" customHeight="1">
      <c r="A128" s="746"/>
      <c r="B128" s="747"/>
      <c r="C128" s="235" t="e">
        <f>'расчет по услугам'!#REF!</f>
        <v>#REF!</v>
      </c>
      <c r="D128" s="224" t="s">
        <v>130</v>
      </c>
      <c r="E128" s="753" t="e">
        <f>'расчет по услугам'!#REF!</f>
        <v>#REF!</v>
      </c>
      <c r="F128" s="753"/>
      <c r="G128" s="191">
        <v>1</v>
      </c>
      <c r="H128" s="192" t="e">
        <f>F128*G128/#REF!</f>
        <v>#REF!</v>
      </c>
      <c r="I128" s="225">
        <v>68695</v>
      </c>
      <c r="J128" s="204"/>
      <c r="K128" s="195" t="e">
        <f t="shared" si="109"/>
        <v>#REF!</v>
      </c>
      <c r="L128" s="205"/>
      <c r="M128" s="274"/>
      <c r="Q128" s="226" t="s">
        <v>242</v>
      </c>
      <c r="R128" s="226" t="s">
        <v>52</v>
      </c>
      <c r="S128" s="227">
        <f t="shared" si="110"/>
        <v>0.16107382550335569</v>
      </c>
      <c r="T128" s="228">
        <f t="shared" si="120"/>
        <v>48</v>
      </c>
      <c r="U128" s="191">
        <v>1</v>
      </c>
      <c r="V128" s="192">
        <f t="shared" si="111"/>
        <v>3.3557046979865771E-3</v>
      </c>
      <c r="W128" s="225">
        <v>68695</v>
      </c>
      <c r="X128" s="204"/>
      <c r="Y128" s="195">
        <f t="shared" si="112"/>
        <v>230.52013422818791</v>
      </c>
      <c r="AA128" s="205">
        <v>7</v>
      </c>
      <c r="AB128" s="226" t="s">
        <v>242</v>
      </c>
      <c r="AC128" s="226" t="s">
        <v>52</v>
      </c>
      <c r="AD128" s="227">
        <f t="shared" si="113"/>
        <v>0.33892617449664431</v>
      </c>
      <c r="AE128" s="228">
        <f t="shared" si="121"/>
        <v>101</v>
      </c>
      <c r="AF128" s="191">
        <v>1</v>
      </c>
      <c r="AG128" s="192">
        <f t="shared" si="114"/>
        <v>3.3557046979865771E-3</v>
      </c>
      <c r="AH128" s="225">
        <v>68695</v>
      </c>
      <c r="AI128" s="204"/>
      <c r="AJ128" s="195">
        <f t="shared" si="115"/>
        <v>230.52013422818791</v>
      </c>
      <c r="AK128" s="205"/>
      <c r="AL128" s="197"/>
      <c r="AM128" s="205">
        <v>7</v>
      </c>
      <c r="AN128" s="226" t="s">
        <v>243</v>
      </c>
      <c r="AO128" s="229" t="s">
        <v>52</v>
      </c>
      <c r="AP128" s="236">
        <v>0.5</v>
      </c>
      <c r="AQ128" s="228">
        <f t="shared" si="122"/>
        <v>149</v>
      </c>
      <c r="AR128" s="191">
        <v>1</v>
      </c>
      <c r="AS128" s="192">
        <f t="shared" si="116"/>
        <v>3.3557046979865771E-3</v>
      </c>
      <c r="AT128" s="225">
        <v>68695</v>
      </c>
      <c r="AU128" s="204"/>
      <c r="AV128" s="195">
        <f t="shared" si="117"/>
        <v>230.52013422818791</v>
      </c>
      <c r="AW128" s="205"/>
      <c r="AX128" s="5">
        <v>226</v>
      </c>
      <c r="AY128" s="233">
        <f t="shared" si="123"/>
        <v>34347.5</v>
      </c>
      <c r="AZ128" s="231">
        <f t="shared" si="118"/>
        <v>34347.5</v>
      </c>
      <c r="BA128" s="234">
        <f t="shared" si="119"/>
        <v>68695</v>
      </c>
      <c r="BB128" s="39" t="s">
        <v>240</v>
      </c>
    </row>
    <row r="129" spans="1:58" ht="30" hidden="1" customHeight="1">
      <c r="A129" s="746"/>
      <c r="B129" s="747"/>
      <c r="C129" s="235" t="e">
        <f>'расчет по услугам'!#REF!</f>
        <v>#REF!</v>
      </c>
      <c r="D129" s="224" t="s">
        <v>130</v>
      </c>
      <c r="E129" s="753" t="e">
        <f>'расчет по услугам'!#REF!</f>
        <v>#REF!</v>
      </c>
      <c r="F129" s="753"/>
      <c r="G129" s="191">
        <v>1</v>
      </c>
      <c r="H129" s="192" t="e">
        <f>F129*G129/#REF!</f>
        <v>#REF!</v>
      </c>
      <c r="I129" s="235">
        <v>115800</v>
      </c>
      <c r="J129" s="204"/>
      <c r="K129" s="195" t="e">
        <f t="shared" si="109"/>
        <v>#REF!</v>
      </c>
      <c r="L129" s="205"/>
      <c r="M129" s="274"/>
      <c r="Q129" s="226" t="s">
        <v>244</v>
      </c>
      <c r="R129" s="226" t="s">
        <v>52</v>
      </c>
      <c r="S129" s="227">
        <f t="shared" si="110"/>
        <v>0.16107382550335569</v>
      </c>
      <c r="T129" s="228">
        <f t="shared" si="120"/>
        <v>48</v>
      </c>
      <c r="U129" s="191">
        <v>1</v>
      </c>
      <c r="V129" s="192">
        <f t="shared" si="111"/>
        <v>3.3557046979865771E-3</v>
      </c>
      <c r="W129" s="235">
        <v>115800</v>
      </c>
      <c r="X129" s="204"/>
      <c r="Y129" s="195">
        <f t="shared" si="112"/>
        <v>388.59060402684565</v>
      </c>
      <c r="AA129" s="205">
        <v>8</v>
      </c>
      <c r="AB129" s="226" t="s">
        <v>244</v>
      </c>
      <c r="AC129" s="226" t="s">
        <v>52</v>
      </c>
      <c r="AD129" s="227">
        <f t="shared" si="113"/>
        <v>0.33892617449664431</v>
      </c>
      <c r="AE129" s="228">
        <f t="shared" si="121"/>
        <v>101</v>
      </c>
      <c r="AF129" s="191">
        <v>1</v>
      </c>
      <c r="AG129" s="192">
        <f t="shared" si="114"/>
        <v>3.3557046979865771E-3</v>
      </c>
      <c r="AH129" s="235">
        <v>115800</v>
      </c>
      <c r="AI129" s="204"/>
      <c r="AJ129" s="195">
        <f t="shared" si="115"/>
        <v>388.59060402684565</v>
      </c>
      <c r="AK129" s="205"/>
      <c r="AL129" s="197"/>
      <c r="AM129" s="205">
        <v>8</v>
      </c>
      <c r="AN129" s="226" t="s">
        <v>244</v>
      </c>
      <c r="AO129" s="226" t="s">
        <v>52</v>
      </c>
      <c r="AP129" s="227">
        <v>0.5</v>
      </c>
      <c r="AQ129" s="228">
        <f t="shared" si="122"/>
        <v>149</v>
      </c>
      <c r="AR129" s="191">
        <v>1</v>
      </c>
      <c r="AS129" s="192">
        <f t="shared" si="116"/>
        <v>3.3557046979865771E-3</v>
      </c>
      <c r="AT129" s="235">
        <v>115800</v>
      </c>
      <c r="AU129" s="204"/>
      <c r="AV129" s="195">
        <f t="shared" si="117"/>
        <v>388.59060402684565</v>
      </c>
      <c r="AW129" s="205"/>
      <c r="AX129" s="5">
        <v>226</v>
      </c>
      <c r="AY129" s="233">
        <f t="shared" si="123"/>
        <v>57900</v>
      </c>
      <c r="AZ129" s="231">
        <f t="shared" si="118"/>
        <v>57900</v>
      </c>
      <c r="BA129" s="234">
        <f t="shared" si="119"/>
        <v>115800</v>
      </c>
      <c r="BB129" s="39" t="s">
        <v>240</v>
      </c>
      <c r="BC129" s="5">
        <v>14415771.93</v>
      </c>
      <c r="BD129" s="24" t="e">
        <f>AY19+BA19+BB120+BB121</f>
        <v>#REF!</v>
      </c>
      <c r="BE129" s="5" t="e">
        <f>BD129-BC129</f>
        <v>#REF!</v>
      </c>
      <c r="BF129" s="5">
        <v>211</v>
      </c>
    </row>
    <row r="130" spans="1:58" ht="30" hidden="1" customHeight="1">
      <c r="A130" s="746"/>
      <c r="B130" s="747"/>
      <c r="C130" s="235" t="e">
        <f>'расчет по услугам'!#REF!</f>
        <v>#REF!</v>
      </c>
      <c r="D130" s="224" t="s">
        <v>130</v>
      </c>
      <c r="E130" s="753" t="e">
        <f>'расчет по услугам'!#REF!</f>
        <v>#REF!</v>
      </c>
      <c r="F130" s="753"/>
      <c r="G130" s="191">
        <v>1</v>
      </c>
      <c r="H130" s="192" t="e">
        <f>F130*G130/#REF!</f>
        <v>#REF!</v>
      </c>
      <c r="I130" s="235">
        <f>56410.7-6410.4-0.3</f>
        <v>49999.999999999993</v>
      </c>
      <c r="J130" s="204"/>
      <c r="K130" s="195" t="e">
        <f t="shared" si="109"/>
        <v>#REF!</v>
      </c>
      <c r="L130" s="205"/>
      <c r="M130" s="274"/>
      <c r="Q130" s="226" t="s">
        <v>245</v>
      </c>
      <c r="R130" s="226" t="s">
        <v>52</v>
      </c>
      <c r="S130" s="227">
        <f t="shared" si="110"/>
        <v>0.16107382550335569</v>
      </c>
      <c r="T130" s="228">
        <f t="shared" si="120"/>
        <v>48</v>
      </c>
      <c r="U130" s="191">
        <v>1</v>
      </c>
      <c r="V130" s="192">
        <f t="shared" si="111"/>
        <v>3.3557046979865771E-3</v>
      </c>
      <c r="W130" s="235">
        <f>56410.7-6410.4-0.3</f>
        <v>49999.999999999993</v>
      </c>
      <c r="X130" s="204"/>
      <c r="Y130" s="195">
        <f t="shared" si="112"/>
        <v>167.78523489932883</v>
      </c>
      <c r="AA130" s="205">
        <v>9</v>
      </c>
      <c r="AB130" s="226" t="s">
        <v>245</v>
      </c>
      <c r="AC130" s="226" t="s">
        <v>52</v>
      </c>
      <c r="AD130" s="227">
        <f t="shared" si="113"/>
        <v>0.33892617449664431</v>
      </c>
      <c r="AE130" s="228">
        <f t="shared" si="121"/>
        <v>101</v>
      </c>
      <c r="AF130" s="191">
        <v>1</v>
      </c>
      <c r="AG130" s="192">
        <f t="shared" si="114"/>
        <v>3.3557046979865771E-3</v>
      </c>
      <c r="AH130" s="235">
        <f>56410.7-6410.4-0.3</f>
        <v>49999.999999999993</v>
      </c>
      <c r="AI130" s="204"/>
      <c r="AJ130" s="195">
        <f t="shared" si="115"/>
        <v>167.78523489932883</v>
      </c>
      <c r="AK130" s="205"/>
      <c r="AL130" s="197"/>
      <c r="AM130" s="205">
        <v>8</v>
      </c>
      <c r="AN130" s="226" t="s">
        <v>245</v>
      </c>
      <c r="AO130" s="226" t="s">
        <v>52</v>
      </c>
      <c r="AP130" s="227">
        <v>0.5</v>
      </c>
      <c r="AQ130" s="228">
        <f t="shared" si="122"/>
        <v>149</v>
      </c>
      <c r="AR130" s="191">
        <v>1</v>
      </c>
      <c r="AS130" s="192">
        <f t="shared" si="116"/>
        <v>3.3557046979865771E-3</v>
      </c>
      <c r="AT130" s="235">
        <f>56410.7-6410.4-0.3</f>
        <v>49999.999999999993</v>
      </c>
      <c r="AU130" s="204"/>
      <c r="AV130" s="195">
        <f t="shared" si="117"/>
        <v>167.78523489932883</v>
      </c>
      <c r="AW130" s="205"/>
      <c r="AX130" s="5">
        <v>226</v>
      </c>
      <c r="AY130" s="233">
        <f t="shared" si="123"/>
        <v>24999.999999999996</v>
      </c>
      <c r="AZ130" s="231">
        <f t="shared" si="118"/>
        <v>24999.999999999996</v>
      </c>
      <c r="BA130" s="234">
        <f t="shared" si="119"/>
        <v>49999.999999999993</v>
      </c>
      <c r="BB130" s="39" t="s">
        <v>240</v>
      </c>
      <c r="BC130" s="5">
        <v>14415771.93</v>
      </c>
      <c r="BD130" s="24" t="e">
        <f>AY20+BA20+BB121+BB122</f>
        <v>#REF!</v>
      </c>
      <c r="BE130" s="5" t="e">
        <f>BD130-BC130</f>
        <v>#REF!</v>
      </c>
      <c r="BF130" s="5">
        <v>211</v>
      </c>
    </row>
    <row r="131" spans="1:58" ht="30" customHeight="1">
      <c r="A131" s="746"/>
      <c r="B131" s="747"/>
      <c r="C131" s="235" t="e">
        <f>'расчет по услугам'!#REF!</f>
        <v>#REF!</v>
      </c>
      <c r="D131" s="224" t="s">
        <v>130</v>
      </c>
      <c r="E131" s="753" t="e">
        <f>'расчет по услугам'!#REF!</f>
        <v>#REF!</v>
      </c>
      <c r="F131" s="753"/>
      <c r="G131" s="191">
        <v>1</v>
      </c>
      <c r="H131" s="192" t="e">
        <f>F131*G131/#REF!</f>
        <v>#REF!</v>
      </c>
      <c r="I131" s="235">
        <v>2500</v>
      </c>
      <c r="J131" s="204"/>
      <c r="K131" s="195" t="e">
        <f t="shared" si="109"/>
        <v>#REF!</v>
      </c>
      <c r="L131" s="205"/>
      <c r="M131" s="274"/>
      <c r="Q131" s="226" t="s">
        <v>118</v>
      </c>
      <c r="R131" s="226" t="s">
        <v>52</v>
      </c>
      <c r="S131" s="227">
        <f t="shared" si="110"/>
        <v>0.16107382550335569</v>
      </c>
      <c r="T131" s="228">
        <f>T129</f>
        <v>48</v>
      </c>
      <c r="U131" s="191">
        <v>1</v>
      </c>
      <c r="V131" s="192">
        <f t="shared" si="111"/>
        <v>3.3557046979865771E-3</v>
      </c>
      <c r="W131" s="235">
        <v>2500</v>
      </c>
      <c r="X131" s="204"/>
      <c r="Y131" s="195">
        <f t="shared" si="112"/>
        <v>8.3892617449664435</v>
      </c>
      <c r="AA131" s="205">
        <v>10</v>
      </c>
      <c r="AB131" s="226" t="s">
        <v>118</v>
      </c>
      <c r="AC131" s="226" t="s">
        <v>52</v>
      </c>
      <c r="AD131" s="227">
        <f t="shared" si="113"/>
        <v>0.33892617449664431</v>
      </c>
      <c r="AE131" s="228">
        <f>AE129</f>
        <v>101</v>
      </c>
      <c r="AF131" s="191">
        <v>1</v>
      </c>
      <c r="AG131" s="192">
        <f t="shared" si="114"/>
        <v>3.3557046979865771E-3</v>
      </c>
      <c r="AH131" s="235">
        <v>2500</v>
      </c>
      <c r="AI131" s="204"/>
      <c r="AJ131" s="195">
        <f t="shared" si="115"/>
        <v>8.3892617449664435</v>
      </c>
      <c r="AK131" s="205"/>
      <c r="AL131" s="197"/>
      <c r="AM131" s="205">
        <v>9</v>
      </c>
      <c r="AN131" s="226" t="s">
        <v>118</v>
      </c>
      <c r="AO131" s="226" t="s">
        <v>52</v>
      </c>
      <c r="AP131" s="227">
        <v>0.5</v>
      </c>
      <c r="AQ131" s="228">
        <f>AQ129</f>
        <v>149</v>
      </c>
      <c r="AR131" s="191">
        <v>1</v>
      </c>
      <c r="AS131" s="192">
        <f t="shared" si="116"/>
        <v>3.3557046979865771E-3</v>
      </c>
      <c r="AT131" s="235">
        <v>2500</v>
      </c>
      <c r="AU131" s="204"/>
      <c r="AV131" s="195">
        <f t="shared" si="117"/>
        <v>8.3892617449664435</v>
      </c>
      <c r="AW131" s="205"/>
      <c r="AX131" s="5">
        <v>290</v>
      </c>
      <c r="AY131" s="233">
        <f t="shared" si="123"/>
        <v>1250</v>
      </c>
      <c r="AZ131" s="231">
        <f t="shared" si="118"/>
        <v>1250</v>
      </c>
      <c r="BA131" s="234">
        <f t="shared" si="119"/>
        <v>2500</v>
      </c>
      <c r="BB131" s="39" t="s">
        <v>240</v>
      </c>
    </row>
    <row r="132" spans="1:58" ht="30" hidden="1" customHeight="1">
      <c r="A132" s="746"/>
      <c r="B132" s="747"/>
      <c r="C132" s="235" t="e">
        <f>'расчет по услугам'!#REF!</f>
        <v>#REF!</v>
      </c>
      <c r="D132" s="224" t="s">
        <v>130</v>
      </c>
      <c r="E132" s="753" t="e">
        <f>'расчет по услугам'!#REF!</f>
        <v>#REF!</v>
      </c>
      <c r="F132" s="753"/>
      <c r="G132" s="191">
        <v>1</v>
      </c>
      <c r="H132" s="192" t="e">
        <f>F132*G132/#REF!</f>
        <v>#REF!</v>
      </c>
      <c r="I132" s="235">
        <v>900</v>
      </c>
      <c r="J132" s="204"/>
      <c r="K132" s="237" t="e">
        <f t="shared" si="109"/>
        <v>#REF!</v>
      </c>
      <c r="L132" s="205"/>
      <c r="M132" s="274"/>
      <c r="Q132" s="226" t="s">
        <v>119</v>
      </c>
      <c r="R132" s="226" t="s">
        <v>52</v>
      </c>
      <c r="S132" s="227">
        <f t="shared" si="110"/>
        <v>0.16107382550335569</v>
      </c>
      <c r="T132" s="228">
        <f t="shared" si="120"/>
        <v>48</v>
      </c>
      <c r="U132" s="191">
        <v>1</v>
      </c>
      <c r="V132" s="192">
        <f>S132*U132/T132</f>
        <v>3.3557046979865771E-3</v>
      </c>
      <c r="W132" s="235">
        <v>900</v>
      </c>
      <c r="X132" s="204"/>
      <c r="Y132" s="237">
        <f t="shared" si="112"/>
        <v>3.0201342281879193</v>
      </c>
      <c r="AA132" s="205">
        <v>11</v>
      </c>
      <c r="AB132" s="226" t="s">
        <v>119</v>
      </c>
      <c r="AC132" s="226" t="s">
        <v>52</v>
      </c>
      <c r="AD132" s="227">
        <f t="shared" si="113"/>
        <v>0.33892617449664431</v>
      </c>
      <c r="AE132" s="228">
        <f t="shared" si="121"/>
        <v>101</v>
      </c>
      <c r="AF132" s="191">
        <v>1</v>
      </c>
      <c r="AG132" s="192">
        <f>AD132*AF132/AE132</f>
        <v>3.3557046979865771E-3</v>
      </c>
      <c r="AH132" s="235">
        <v>900</v>
      </c>
      <c r="AI132" s="204"/>
      <c r="AJ132" s="237">
        <f t="shared" si="115"/>
        <v>3.0201342281879193</v>
      </c>
      <c r="AK132" s="205"/>
      <c r="AL132" s="197"/>
      <c r="AM132" s="205">
        <v>10</v>
      </c>
      <c r="AN132" s="226" t="s">
        <v>119</v>
      </c>
      <c r="AO132" s="226" t="s">
        <v>52</v>
      </c>
      <c r="AP132" s="227">
        <v>0.5</v>
      </c>
      <c r="AQ132" s="228">
        <f t="shared" si="122"/>
        <v>149</v>
      </c>
      <c r="AR132" s="191">
        <v>1</v>
      </c>
      <c r="AS132" s="192">
        <f t="shared" si="116"/>
        <v>3.3557046979865771E-3</v>
      </c>
      <c r="AT132" s="235">
        <v>900</v>
      </c>
      <c r="AU132" s="204"/>
      <c r="AV132" s="237">
        <f t="shared" si="117"/>
        <v>3.0201342281879193</v>
      </c>
      <c r="AW132" s="205"/>
      <c r="AX132" s="5">
        <v>212</v>
      </c>
      <c r="AY132" s="233">
        <f t="shared" si="123"/>
        <v>450</v>
      </c>
      <c r="AZ132" s="231">
        <f t="shared" si="118"/>
        <v>450</v>
      </c>
      <c r="BA132" s="234">
        <f t="shared" si="119"/>
        <v>900</v>
      </c>
      <c r="BB132" s="39" t="s">
        <v>240</v>
      </c>
    </row>
    <row r="133" spans="1:58" ht="30" customHeight="1">
      <c r="A133" s="746"/>
      <c r="B133" s="747"/>
      <c r="C133" s="235" t="e">
        <f>'расчет по услугам'!#REF!</f>
        <v>#REF!</v>
      </c>
      <c r="D133" s="224" t="s">
        <v>130</v>
      </c>
      <c r="E133" s="753" t="e">
        <f>'расчет по услугам'!#REF!</f>
        <v>#REF!</v>
      </c>
      <c r="F133" s="753"/>
      <c r="G133" s="191">
        <v>1</v>
      </c>
      <c r="H133" s="192" t="e">
        <f>F133*G133/#REF!</f>
        <v>#REF!</v>
      </c>
      <c r="I133" s="225">
        <v>5950</v>
      </c>
      <c r="J133" s="204"/>
      <c r="K133" s="195" t="e">
        <f t="shared" si="109"/>
        <v>#REF!</v>
      </c>
      <c r="L133" s="205"/>
      <c r="M133" s="274"/>
      <c r="Q133" s="226" t="s">
        <v>121</v>
      </c>
      <c r="R133" s="226" t="s">
        <v>52</v>
      </c>
      <c r="S133" s="227">
        <f>10/149*T133</f>
        <v>3.2214765100671139</v>
      </c>
      <c r="T133" s="228">
        <f t="shared" si="120"/>
        <v>48</v>
      </c>
      <c r="U133" s="191">
        <v>1</v>
      </c>
      <c r="V133" s="192">
        <f t="shared" ref="V133:V139" si="124">S133*U133/T133</f>
        <v>6.7114093959731544E-2</v>
      </c>
      <c r="W133" s="225">
        <v>5950</v>
      </c>
      <c r="X133" s="204"/>
      <c r="Y133" s="195">
        <f t="shared" si="112"/>
        <v>399.32885906040269</v>
      </c>
      <c r="AA133" s="205">
        <v>12</v>
      </c>
      <c r="AB133" s="226" t="s">
        <v>121</v>
      </c>
      <c r="AC133" s="226" t="s">
        <v>52</v>
      </c>
      <c r="AD133" s="227">
        <f>10/149*AE133</f>
        <v>6.7785234899328861</v>
      </c>
      <c r="AE133" s="228">
        <f t="shared" si="121"/>
        <v>101</v>
      </c>
      <c r="AF133" s="191">
        <v>1</v>
      </c>
      <c r="AG133" s="192">
        <f t="shared" ref="AG133:AG139" si="125">AD133*AF133/AE133</f>
        <v>6.7114093959731544E-2</v>
      </c>
      <c r="AH133" s="225">
        <v>5950</v>
      </c>
      <c r="AI133" s="204"/>
      <c r="AJ133" s="195">
        <f t="shared" si="115"/>
        <v>399.32885906040269</v>
      </c>
      <c r="AK133" s="205"/>
      <c r="AL133" s="197"/>
      <c r="AM133" s="205">
        <v>11</v>
      </c>
      <c r="AN133" s="226" t="s">
        <v>121</v>
      </c>
      <c r="AO133" s="229" t="s">
        <v>52</v>
      </c>
      <c r="AP133" s="227">
        <v>10</v>
      </c>
      <c r="AQ133" s="228">
        <f t="shared" si="122"/>
        <v>149</v>
      </c>
      <c r="AR133" s="191">
        <v>1</v>
      </c>
      <c r="AS133" s="192">
        <f t="shared" si="116"/>
        <v>6.7114093959731544E-2</v>
      </c>
      <c r="AT133" s="225">
        <v>5950</v>
      </c>
      <c r="AU133" s="204"/>
      <c r="AV133" s="195">
        <f t="shared" si="117"/>
        <v>399.32885906040269</v>
      </c>
      <c r="AW133" s="205"/>
      <c r="AX133" s="5">
        <v>226</v>
      </c>
      <c r="AY133" s="233">
        <f t="shared" si="123"/>
        <v>59500</v>
      </c>
      <c r="AZ133" s="231">
        <f t="shared" si="118"/>
        <v>59500</v>
      </c>
      <c r="BA133" s="234">
        <f t="shared" si="119"/>
        <v>119000</v>
      </c>
      <c r="BB133" s="39" t="s">
        <v>240</v>
      </c>
    </row>
    <row r="134" spans="1:58" ht="30" customHeight="1">
      <c r="A134" s="746"/>
      <c r="B134" s="747"/>
      <c r="C134" s="235" t="e">
        <f>'расчет по услугам'!#REF!</f>
        <v>#REF!</v>
      </c>
      <c r="D134" s="238" t="s">
        <v>130</v>
      </c>
      <c r="E134" s="753" t="e">
        <f>'расчет по услугам'!#REF!</f>
        <v>#REF!</v>
      </c>
      <c r="F134" s="753"/>
      <c r="G134" s="191">
        <v>1</v>
      </c>
      <c r="H134" s="192" t="e">
        <f>F134*G134/#REF!</f>
        <v>#REF!</v>
      </c>
      <c r="I134" s="225">
        <v>71000</v>
      </c>
      <c r="J134" s="204"/>
      <c r="K134" s="195" t="e">
        <f t="shared" si="109"/>
        <v>#REF!</v>
      </c>
      <c r="L134" s="205"/>
      <c r="M134" s="274"/>
      <c r="Q134" s="226" t="s">
        <v>246</v>
      </c>
      <c r="R134" s="226" t="s">
        <v>52</v>
      </c>
      <c r="S134" s="227">
        <f>0.5/149*T134</f>
        <v>0.16107382550335569</v>
      </c>
      <c r="T134" s="228">
        <f t="shared" si="120"/>
        <v>48</v>
      </c>
      <c r="U134" s="191">
        <v>1</v>
      </c>
      <c r="V134" s="192">
        <f t="shared" si="124"/>
        <v>3.3557046979865771E-3</v>
      </c>
      <c r="W134" s="225">
        <v>71000</v>
      </c>
      <c r="X134" s="204"/>
      <c r="Y134" s="195">
        <f t="shared" si="112"/>
        <v>238.25503355704697</v>
      </c>
      <c r="AA134" s="205">
        <v>13</v>
      </c>
      <c r="AB134" s="226" t="s">
        <v>246</v>
      </c>
      <c r="AC134" s="226" t="s">
        <v>52</v>
      </c>
      <c r="AD134" s="227">
        <f>0.5/149*AE134</f>
        <v>0.33892617449664431</v>
      </c>
      <c r="AE134" s="228">
        <f t="shared" si="121"/>
        <v>101</v>
      </c>
      <c r="AF134" s="191">
        <v>1</v>
      </c>
      <c r="AG134" s="192">
        <f t="shared" si="125"/>
        <v>3.3557046979865771E-3</v>
      </c>
      <c r="AH134" s="225">
        <v>71000</v>
      </c>
      <c r="AI134" s="204"/>
      <c r="AJ134" s="195">
        <f t="shared" si="115"/>
        <v>238.25503355704697</v>
      </c>
      <c r="AK134" s="205"/>
      <c r="AL134" s="197"/>
      <c r="AM134" s="205">
        <v>12</v>
      </c>
      <c r="AN134" s="226" t="s">
        <v>246</v>
      </c>
      <c r="AO134" s="229" t="s">
        <v>52</v>
      </c>
      <c r="AP134" s="227">
        <v>0.5</v>
      </c>
      <c r="AQ134" s="228">
        <f t="shared" si="122"/>
        <v>149</v>
      </c>
      <c r="AR134" s="191">
        <v>1</v>
      </c>
      <c r="AS134" s="192">
        <f t="shared" si="116"/>
        <v>3.3557046979865771E-3</v>
      </c>
      <c r="AT134" s="225">
        <v>71000</v>
      </c>
      <c r="AU134" s="204"/>
      <c r="AV134" s="195">
        <f t="shared" si="117"/>
        <v>238.25503355704697</v>
      </c>
      <c r="AW134" s="205"/>
      <c r="AX134" s="5">
        <v>226</v>
      </c>
      <c r="AY134" s="233">
        <f t="shared" si="123"/>
        <v>35500</v>
      </c>
      <c r="AZ134" s="231">
        <f t="shared" si="118"/>
        <v>35500</v>
      </c>
      <c r="BA134" s="234">
        <f t="shared" si="119"/>
        <v>71000</v>
      </c>
      <c r="BB134" s="39" t="s">
        <v>240</v>
      </c>
    </row>
    <row r="135" spans="1:58" ht="49.5" customHeight="1">
      <c r="A135" s="746"/>
      <c r="B135" s="747"/>
      <c r="C135" s="235" t="e">
        <f>'расчет по услугам'!#REF!</f>
        <v>#REF!</v>
      </c>
      <c r="D135" s="238" t="s">
        <v>130</v>
      </c>
      <c r="E135" s="753" t="e">
        <f>'расчет по услугам'!#REF!</f>
        <v>#REF!</v>
      </c>
      <c r="F135" s="753"/>
      <c r="G135" s="191">
        <v>1</v>
      </c>
      <c r="H135" s="192" t="e">
        <f>F135*G135/#REF!</f>
        <v>#REF!</v>
      </c>
      <c r="I135" s="235">
        <v>10000</v>
      </c>
      <c r="J135" s="204"/>
      <c r="K135" s="195" t="e">
        <f t="shared" si="109"/>
        <v>#REF!</v>
      </c>
      <c r="L135" s="205"/>
      <c r="M135" s="274"/>
      <c r="Q135" s="226" t="s">
        <v>247</v>
      </c>
      <c r="R135" s="226" t="s">
        <v>52</v>
      </c>
      <c r="S135" s="227">
        <f>0.5/149*T135</f>
        <v>0.16107382550335569</v>
      </c>
      <c r="T135" s="228">
        <f t="shared" si="120"/>
        <v>48</v>
      </c>
      <c r="U135" s="191">
        <v>1</v>
      </c>
      <c r="V135" s="192">
        <f t="shared" si="124"/>
        <v>3.3557046979865771E-3</v>
      </c>
      <c r="W135" s="235">
        <v>10000</v>
      </c>
      <c r="X135" s="204"/>
      <c r="Y135" s="195">
        <f t="shared" si="112"/>
        <v>33.557046979865774</v>
      </c>
      <c r="AA135" s="205">
        <v>14</v>
      </c>
      <c r="AB135" s="226" t="s">
        <v>247</v>
      </c>
      <c r="AC135" s="226" t="s">
        <v>52</v>
      </c>
      <c r="AD135" s="227">
        <f>0.5/149*AE135</f>
        <v>0.33892617449664431</v>
      </c>
      <c r="AE135" s="228">
        <f t="shared" si="121"/>
        <v>101</v>
      </c>
      <c r="AF135" s="191">
        <v>1</v>
      </c>
      <c r="AG135" s="192">
        <f t="shared" si="125"/>
        <v>3.3557046979865771E-3</v>
      </c>
      <c r="AH135" s="235">
        <v>10000</v>
      </c>
      <c r="AI135" s="204"/>
      <c r="AJ135" s="195">
        <f t="shared" si="115"/>
        <v>33.557046979865774</v>
      </c>
      <c r="AK135" s="205"/>
      <c r="AL135" s="197"/>
      <c r="AM135" s="205">
        <v>13</v>
      </c>
      <c r="AN135" s="226" t="s">
        <v>247</v>
      </c>
      <c r="AO135" s="226" t="s">
        <v>52</v>
      </c>
      <c r="AP135" s="227">
        <v>0.5</v>
      </c>
      <c r="AQ135" s="228">
        <f t="shared" si="122"/>
        <v>149</v>
      </c>
      <c r="AR135" s="191">
        <v>1</v>
      </c>
      <c r="AS135" s="192">
        <f t="shared" si="116"/>
        <v>3.3557046979865771E-3</v>
      </c>
      <c r="AT135" s="235">
        <v>10000</v>
      </c>
      <c r="AU135" s="204"/>
      <c r="AV135" s="195">
        <f t="shared" si="117"/>
        <v>33.557046979865774</v>
      </c>
      <c r="AW135" s="205"/>
      <c r="AX135" s="5">
        <v>226</v>
      </c>
      <c r="AY135" s="233">
        <f t="shared" si="123"/>
        <v>5000</v>
      </c>
      <c r="AZ135" s="231">
        <f t="shared" si="118"/>
        <v>5000</v>
      </c>
      <c r="BA135" s="234">
        <f t="shared" si="119"/>
        <v>10000</v>
      </c>
      <c r="BB135" s="39" t="s">
        <v>240</v>
      </c>
    </row>
    <row r="136" spans="1:58" ht="59.25" customHeight="1">
      <c r="A136" s="746"/>
      <c r="B136" s="747"/>
      <c r="C136" s="235" t="e">
        <f>'расчет по услугам'!#REF!</f>
        <v>#REF!</v>
      </c>
      <c r="D136" s="238" t="s">
        <v>130</v>
      </c>
      <c r="E136" s="753" t="e">
        <f>'расчет по услугам'!#REF!</f>
        <v>#REF!</v>
      </c>
      <c r="F136" s="753"/>
      <c r="G136" s="191">
        <v>1</v>
      </c>
      <c r="H136" s="192" t="e">
        <f>F136*G136/#REF!</f>
        <v>#REF!</v>
      </c>
      <c r="I136" s="225">
        <v>10000</v>
      </c>
      <c r="J136" s="204"/>
      <c r="K136" s="195" t="e">
        <f t="shared" si="109"/>
        <v>#REF!</v>
      </c>
      <c r="L136" s="205"/>
      <c r="M136" s="274"/>
      <c r="Q136" s="226" t="s">
        <v>248</v>
      </c>
      <c r="R136" s="226" t="s">
        <v>52</v>
      </c>
      <c r="S136" s="227">
        <f>0.5/149*T136</f>
        <v>0.16107382550335569</v>
      </c>
      <c r="T136" s="228">
        <f t="shared" si="120"/>
        <v>48</v>
      </c>
      <c r="U136" s="191">
        <v>1</v>
      </c>
      <c r="V136" s="192">
        <f t="shared" si="124"/>
        <v>3.3557046979865771E-3</v>
      </c>
      <c r="W136" s="225">
        <v>10000</v>
      </c>
      <c r="X136" s="204"/>
      <c r="Y136" s="195">
        <f t="shared" si="112"/>
        <v>33.557046979865774</v>
      </c>
      <c r="AA136" s="205">
        <v>15</v>
      </c>
      <c r="AB136" s="226" t="s">
        <v>248</v>
      </c>
      <c r="AC136" s="226" t="s">
        <v>52</v>
      </c>
      <c r="AD136" s="227">
        <f>0.5/149*AE136</f>
        <v>0.33892617449664431</v>
      </c>
      <c r="AE136" s="228">
        <f t="shared" si="121"/>
        <v>101</v>
      </c>
      <c r="AF136" s="191">
        <v>1</v>
      </c>
      <c r="AG136" s="192">
        <f t="shared" si="125"/>
        <v>3.3557046979865771E-3</v>
      </c>
      <c r="AH136" s="225">
        <v>10000</v>
      </c>
      <c r="AI136" s="204"/>
      <c r="AJ136" s="195">
        <f t="shared" si="115"/>
        <v>33.557046979865774</v>
      </c>
      <c r="AK136" s="205"/>
      <c r="AL136" s="197"/>
      <c r="AM136" s="205">
        <v>14</v>
      </c>
      <c r="AN136" s="226" t="s">
        <v>248</v>
      </c>
      <c r="AO136" s="229" t="s">
        <v>52</v>
      </c>
      <c r="AP136" s="227">
        <v>0.5</v>
      </c>
      <c r="AQ136" s="228">
        <f t="shared" si="122"/>
        <v>149</v>
      </c>
      <c r="AR136" s="191">
        <v>1</v>
      </c>
      <c r="AS136" s="192">
        <f t="shared" si="116"/>
        <v>3.3557046979865771E-3</v>
      </c>
      <c r="AT136" s="225">
        <v>10000</v>
      </c>
      <c r="AU136" s="204"/>
      <c r="AV136" s="195">
        <f t="shared" si="117"/>
        <v>33.557046979865774</v>
      </c>
      <c r="AW136" s="205"/>
      <c r="AX136" s="5">
        <v>226</v>
      </c>
      <c r="AY136" s="233">
        <f t="shared" si="123"/>
        <v>5000</v>
      </c>
      <c r="AZ136" s="231">
        <f t="shared" si="118"/>
        <v>5000</v>
      </c>
      <c r="BA136" s="234">
        <f t="shared" si="119"/>
        <v>10000</v>
      </c>
      <c r="BB136" s="39" t="s">
        <v>240</v>
      </c>
    </row>
    <row r="137" spans="1:58" ht="30" customHeight="1">
      <c r="A137" s="746"/>
      <c r="B137" s="747"/>
      <c r="C137" s="235" t="e">
        <f>'расчет по услугам'!#REF!</f>
        <v>#REF!</v>
      </c>
      <c r="D137" s="238" t="s">
        <v>130</v>
      </c>
      <c r="E137" s="753" t="e">
        <f>'расчет по услугам'!#REF!</f>
        <v>#REF!</v>
      </c>
      <c r="F137" s="753"/>
      <c r="G137" s="191">
        <v>1</v>
      </c>
      <c r="H137" s="192" t="e">
        <f>F137*G137/#REF!</f>
        <v>#REF!</v>
      </c>
      <c r="I137" s="235">
        <v>30000</v>
      </c>
      <c r="J137" s="204"/>
      <c r="K137" s="195" t="e">
        <f t="shared" si="109"/>
        <v>#REF!</v>
      </c>
      <c r="L137" s="205"/>
      <c r="M137" s="274"/>
      <c r="Q137" s="226" t="s">
        <v>168</v>
      </c>
      <c r="R137" s="226" t="s">
        <v>52</v>
      </c>
      <c r="S137" s="227">
        <f>0.5/149*T137</f>
        <v>0.16107382550335569</v>
      </c>
      <c r="T137" s="228">
        <f t="shared" si="120"/>
        <v>48</v>
      </c>
      <c r="U137" s="191">
        <v>1</v>
      </c>
      <c r="V137" s="192">
        <f t="shared" si="124"/>
        <v>3.3557046979865771E-3</v>
      </c>
      <c r="W137" s="235">
        <v>30000</v>
      </c>
      <c r="X137" s="204"/>
      <c r="Y137" s="195">
        <f t="shared" si="112"/>
        <v>100.67114093959731</v>
      </c>
      <c r="AA137" s="205">
        <v>16</v>
      </c>
      <c r="AB137" s="226" t="s">
        <v>168</v>
      </c>
      <c r="AC137" s="226" t="s">
        <v>52</v>
      </c>
      <c r="AD137" s="227">
        <f>0.5/149*AE137</f>
        <v>0.33892617449664431</v>
      </c>
      <c r="AE137" s="228">
        <f t="shared" si="121"/>
        <v>101</v>
      </c>
      <c r="AF137" s="191">
        <v>1</v>
      </c>
      <c r="AG137" s="192">
        <f t="shared" si="125"/>
        <v>3.3557046979865771E-3</v>
      </c>
      <c r="AH137" s="235">
        <v>30000</v>
      </c>
      <c r="AI137" s="204"/>
      <c r="AJ137" s="195">
        <f t="shared" si="115"/>
        <v>100.67114093959731</v>
      </c>
      <c r="AK137" s="205"/>
      <c r="AL137" s="197"/>
      <c r="AM137" s="205">
        <v>15</v>
      </c>
      <c r="AN137" s="226" t="s">
        <v>168</v>
      </c>
      <c r="AO137" s="226" t="s">
        <v>52</v>
      </c>
      <c r="AP137" s="227">
        <v>0.5</v>
      </c>
      <c r="AQ137" s="228">
        <f t="shared" si="122"/>
        <v>149</v>
      </c>
      <c r="AR137" s="191">
        <v>1</v>
      </c>
      <c r="AS137" s="192">
        <f t="shared" si="116"/>
        <v>3.3557046979865771E-3</v>
      </c>
      <c r="AT137" s="235">
        <v>30000</v>
      </c>
      <c r="AU137" s="204"/>
      <c r="AV137" s="195">
        <f>AS137*AT137</f>
        <v>100.67114093959731</v>
      </c>
      <c r="AW137" s="205"/>
      <c r="AX137" s="5">
        <v>226</v>
      </c>
      <c r="AY137" s="233">
        <f t="shared" si="123"/>
        <v>14999.999999999998</v>
      </c>
      <c r="AZ137" s="231">
        <f t="shared" si="118"/>
        <v>14999.999999999998</v>
      </c>
      <c r="BA137" s="234">
        <f t="shared" si="119"/>
        <v>29999.999999999996</v>
      </c>
      <c r="BB137" s="107" t="s">
        <v>240</v>
      </c>
      <c r="BC137" s="24">
        <f>BA137+BA136+BA135+BA134+BA133+BA129+BA128+BA127+BA126+BA125+BA124+AY54+AY56+BA130</f>
        <v>772488.28859060409</v>
      </c>
    </row>
    <row r="138" spans="1:58" ht="30" customHeight="1">
      <c r="A138" s="746"/>
      <c r="B138" s="747"/>
      <c r="C138" s="235" t="e">
        <f>'расчет по услугам'!#REF!</f>
        <v>#REF!</v>
      </c>
      <c r="D138" s="238" t="s">
        <v>130</v>
      </c>
      <c r="E138" s="753" t="e">
        <f>'расчет по услугам'!#REF!</f>
        <v>#REF!</v>
      </c>
      <c r="F138" s="753"/>
      <c r="G138" s="191">
        <v>1</v>
      </c>
      <c r="H138" s="192" t="e">
        <f>F138*G138/#REF!</f>
        <v>#REF!</v>
      </c>
      <c r="I138" s="235">
        <v>13350</v>
      </c>
      <c r="J138" s="204"/>
      <c r="K138" s="195" t="e">
        <f t="shared" si="109"/>
        <v>#REF!</v>
      </c>
      <c r="L138" s="205"/>
      <c r="M138" s="274"/>
      <c r="Q138" s="226" t="s">
        <v>249</v>
      </c>
      <c r="R138" s="226" t="s">
        <v>52</v>
      </c>
      <c r="S138" s="227">
        <f>1/149*T138</f>
        <v>0.32214765100671139</v>
      </c>
      <c r="T138" s="228">
        <f t="shared" si="120"/>
        <v>48</v>
      </c>
      <c r="U138" s="191">
        <v>1</v>
      </c>
      <c r="V138" s="192">
        <f t="shared" si="124"/>
        <v>6.7114093959731542E-3</v>
      </c>
      <c r="W138" s="235">
        <v>13350</v>
      </c>
      <c r="X138" s="204"/>
      <c r="Y138" s="195">
        <f t="shared" si="112"/>
        <v>89.597315436241615</v>
      </c>
      <c r="AA138" s="205">
        <v>17</v>
      </c>
      <c r="AB138" s="226" t="s">
        <v>249</v>
      </c>
      <c r="AC138" s="226" t="s">
        <v>52</v>
      </c>
      <c r="AD138" s="227">
        <f>1/149*AE138</f>
        <v>0.67785234899328861</v>
      </c>
      <c r="AE138" s="228">
        <f t="shared" si="121"/>
        <v>101</v>
      </c>
      <c r="AF138" s="191">
        <v>1</v>
      </c>
      <c r="AG138" s="192">
        <f t="shared" si="125"/>
        <v>6.7114093959731542E-3</v>
      </c>
      <c r="AH138" s="235">
        <v>13350</v>
      </c>
      <c r="AI138" s="204"/>
      <c r="AJ138" s="195">
        <f t="shared" si="115"/>
        <v>89.597315436241615</v>
      </c>
      <c r="AK138" s="205"/>
      <c r="AL138" s="197"/>
      <c r="AM138" s="205">
        <v>16</v>
      </c>
      <c r="AN138" s="226" t="s">
        <v>249</v>
      </c>
      <c r="AO138" s="226" t="s">
        <v>52</v>
      </c>
      <c r="AP138" s="227">
        <v>1</v>
      </c>
      <c r="AQ138" s="228">
        <f t="shared" si="122"/>
        <v>149</v>
      </c>
      <c r="AR138" s="191">
        <v>1</v>
      </c>
      <c r="AS138" s="192">
        <f t="shared" si="116"/>
        <v>6.7114093959731542E-3</v>
      </c>
      <c r="AT138" s="235">
        <v>13350</v>
      </c>
      <c r="AU138" s="204"/>
      <c r="AV138" s="195">
        <f t="shared" ref="AV138:AV141" si="126">AS138*AT138</f>
        <v>89.597315436241615</v>
      </c>
      <c r="AW138" s="205"/>
      <c r="AX138" s="5" t="s">
        <v>250</v>
      </c>
      <c r="AY138" s="233">
        <f t="shared" si="123"/>
        <v>13350</v>
      </c>
      <c r="AZ138" s="231">
        <f t="shared" si="118"/>
        <v>13350</v>
      </c>
      <c r="BA138" s="234">
        <f t="shared" si="119"/>
        <v>26700</v>
      </c>
      <c r="BB138" s="39"/>
    </row>
    <row r="139" spans="1:58" ht="39" customHeight="1">
      <c r="A139" s="746"/>
      <c r="B139" s="747"/>
      <c r="C139" s="235" t="e">
        <f>'расчет по услугам'!#REF!</f>
        <v>#REF!</v>
      </c>
      <c r="D139" s="238" t="s">
        <v>130</v>
      </c>
      <c r="E139" s="753" t="e">
        <f>'расчет по услугам'!#REF!</f>
        <v>#REF!</v>
      </c>
      <c r="F139" s="753"/>
      <c r="G139" s="191">
        <v>1</v>
      </c>
      <c r="H139" s="192" t="e">
        <f>F139*G139/#REF!</f>
        <v>#REF!</v>
      </c>
      <c r="I139" s="235">
        <v>3800</v>
      </c>
      <c r="J139" s="204"/>
      <c r="K139" s="195" t="e">
        <f t="shared" si="109"/>
        <v>#REF!</v>
      </c>
      <c r="L139" s="205"/>
      <c r="M139" s="274"/>
      <c r="Q139" s="226" t="s">
        <v>251</v>
      </c>
      <c r="R139" s="226" t="s">
        <v>252</v>
      </c>
      <c r="S139" s="227">
        <f>2/149*T139</f>
        <v>0.64429530201342278</v>
      </c>
      <c r="T139" s="228">
        <f t="shared" si="120"/>
        <v>48</v>
      </c>
      <c r="U139" s="191">
        <v>1</v>
      </c>
      <c r="V139" s="192">
        <f t="shared" si="124"/>
        <v>1.3422818791946308E-2</v>
      </c>
      <c r="W139" s="235">
        <v>3800</v>
      </c>
      <c r="X139" s="204"/>
      <c r="Y139" s="195">
        <f t="shared" si="112"/>
        <v>51.006711409395969</v>
      </c>
      <c r="AA139" s="205">
        <v>18</v>
      </c>
      <c r="AB139" s="226" t="s">
        <v>251</v>
      </c>
      <c r="AC139" s="226" t="s">
        <v>252</v>
      </c>
      <c r="AD139" s="227">
        <f>2/149*AE139</f>
        <v>1.3557046979865772</v>
      </c>
      <c r="AE139" s="228">
        <f t="shared" si="121"/>
        <v>101</v>
      </c>
      <c r="AF139" s="191">
        <v>1</v>
      </c>
      <c r="AG139" s="192">
        <f t="shared" si="125"/>
        <v>1.3422818791946308E-2</v>
      </c>
      <c r="AH139" s="235">
        <v>3800</v>
      </c>
      <c r="AI139" s="204"/>
      <c r="AJ139" s="195">
        <f t="shared" si="115"/>
        <v>51.006711409395969</v>
      </c>
      <c r="AK139" s="205"/>
      <c r="AL139" s="197"/>
      <c r="AM139" s="205">
        <v>17</v>
      </c>
      <c r="AN139" s="226" t="s">
        <v>253</v>
      </c>
      <c r="AO139" s="229" t="s">
        <v>254</v>
      </c>
      <c r="AP139" s="227">
        <v>5</v>
      </c>
      <c r="AQ139" s="228">
        <f t="shared" si="122"/>
        <v>149</v>
      </c>
      <c r="AR139" s="191">
        <v>1</v>
      </c>
      <c r="AS139" s="192">
        <f t="shared" si="116"/>
        <v>3.3557046979865772E-2</v>
      </c>
      <c r="AT139" s="225">
        <v>3000</v>
      </c>
      <c r="AU139" s="204"/>
      <c r="AV139" s="195">
        <f t="shared" si="126"/>
        <v>100.67114093959732</v>
      </c>
      <c r="AW139" s="205"/>
      <c r="AX139" s="5">
        <v>340</v>
      </c>
      <c r="AY139" s="233">
        <f t="shared" si="123"/>
        <v>7599.9999999999991</v>
      </c>
      <c r="AZ139" s="231">
        <f t="shared" si="118"/>
        <v>15000.000000000002</v>
      </c>
      <c r="BA139" s="232">
        <f t="shared" si="119"/>
        <v>22600</v>
      </c>
      <c r="BB139" s="39"/>
    </row>
    <row r="140" spans="1:58" ht="30" customHeight="1">
      <c r="A140" s="746"/>
      <c r="B140" s="747"/>
      <c r="C140" s="235" t="e">
        <f>'расчет по услугам'!#REF!</f>
        <v>#REF!</v>
      </c>
      <c r="D140" s="238" t="s">
        <v>130</v>
      </c>
      <c r="E140" s="753" t="e">
        <f>'расчет по услугам'!#REF!</f>
        <v>#REF!</v>
      </c>
      <c r="F140" s="753"/>
      <c r="G140" s="191">
        <v>1</v>
      </c>
      <c r="H140" s="192" t="e">
        <f>F140*G140/#REF!</f>
        <v>#REF!</v>
      </c>
      <c r="I140" s="235">
        <v>60000</v>
      </c>
      <c r="J140" s="204"/>
      <c r="K140" s="195" t="e">
        <f t="shared" si="109"/>
        <v>#REF!</v>
      </c>
      <c r="L140" s="205"/>
      <c r="M140" s="274"/>
      <c r="Q140" s="226" t="s">
        <v>122</v>
      </c>
      <c r="R140" s="226" t="s">
        <v>52</v>
      </c>
      <c r="S140" s="227">
        <f>0.5/149*T140</f>
        <v>0.16107382550335569</v>
      </c>
      <c r="T140" s="228">
        <f t="shared" si="120"/>
        <v>48</v>
      </c>
      <c r="U140" s="191">
        <v>1</v>
      </c>
      <c r="V140" s="192">
        <f>S140*U140/T140</f>
        <v>3.3557046979865771E-3</v>
      </c>
      <c r="W140" s="235">
        <v>60000</v>
      </c>
      <c r="X140" s="204"/>
      <c r="Y140" s="195">
        <f t="shared" si="112"/>
        <v>201.34228187919462</v>
      </c>
      <c r="AA140" s="205">
        <v>19</v>
      </c>
      <c r="AB140" s="226" t="s">
        <v>122</v>
      </c>
      <c r="AC140" s="226" t="s">
        <v>52</v>
      </c>
      <c r="AD140" s="227">
        <f>0.5/149*AE140</f>
        <v>0.33892617449664431</v>
      </c>
      <c r="AE140" s="228">
        <f t="shared" si="121"/>
        <v>101</v>
      </c>
      <c r="AF140" s="191">
        <v>1</v>
      </c>
      <c r="AG140" s="192">
        <f>AD140*AF140/AE140</f>
        <v>3.3557046979865771E-3</v>
      </c>
      <c r="AH140" s="235">
        <v>60000</v>
      </c>
      <c r="AI140" s="204"/>
      <c r="AJ140" s="195">
        <f t="shared" si="115"/>
        <v>201.34228187919462</v>
      </c>
      <c r="AK140" s="205"/>
      <c r="AL140" s="197"/>
      <c r="AM140" s="205">
        <v>18</v>
      </c>
      <c r="AN140" s="226" t="s">
        <v>122</v>
      </c>
      <c r="AO140" s="226" t="s">
        <v>52</v>
      </c>
      <c r="AP140" s="227">
        <v>0.5</v>
      </c>
      <c r="AQ140" s="228">
        <f t="shared" si="122"/>
        <v>149</v>
      </c>
      <c r="AR140" s="191">
        <v>1</v>
      </c>
      <c r="AS140" s="192">
        <f t="shared" si="116"/>
        <v>3.3557046979865771E-3</v>
      </c>
      <c r="AT140" s="235">
        <v>60000</v>
      </c>
      <c r="AU140" s="204"/>
      <c r="AV140" s="195">
        <f t="shared" si="126"/>
        <v>201.34228187919462</v>
      </c>
      <c r="AW140" s="205"/>
      <c r="AX140" s="5">
        <v>340</v>
      </c>
      <c r="AY140" s="233">
        <f t="shared" si="123"/>
        <v>29999.999999999996</v>
      </c>
      <c r="AZ140" s="231">
        <f t="shared" si="118"/>
        <v>29999.999999999996</v>
      </c>
      <c r="BA140" s="232">
        <f t="shared" si="119"/>
        <v>59999.999999999993</v>
      </c>
      <c r="BB140" s="39"/>
    </row>
    <row r="141" spans="1:58" s="242" customFormat="1" ht="39.75" customHeight="1">
      <c r="A141" s="746"/>
      <c r="B141" s="747"/>
      <c r="C141" s="235" t="e">
        <f>'расчет по услугам'!#REF!</f>
        <v>#REF!</v>
      </c>
      <c r="D141" s="238" t="s">
        <v>130</v>
      </c>
      <c r="E141" s="753" t="e">
        <f>'расчет по услугам'!#REF!</f>
        <v>#REF!</v>
      </c>
      <c r="F141" s="753"/>
      <c r="G141" s="191">
        <v>1</v>
      </c>
      <c r="H141" s="192" t="e">
        <f>F141*G141/#REF!</f>
        <v>#REF!</v>
      </c>
      <c r="I141" s="235">
        <v>30000</v>
      </c>
      <c r="J141" s="204"/>
      <c r="K141" s="195" t="e">
        <f t="shared" si="109"/>
        <v>#REF!</v>
      </c>
      <c r="L141" s="240"/>
      <c r="M141" s="277"/>
      <c r="P141" s="243"/>
      <c r="Q141" s="226" t="s">
        <v>255</v>
      </c>
      <c r="R141" s="226" t="s">
        <v>52</v>
      </c>
      <c r="S141" s="227">
        <f>0.5/149*T141</f>
        <v>0.16107382550335569</v>
      </c>
      <c r="T141" s="228">
        <f t="shared" si="120"/>
        <v>48</v>
      </c>
      <c r="U141" s="191">
        <v>1</v>
      </c>
      <c r="V141" s="192">
        <f>S141*U141/T141</f>
        <v>3.3557046979865771E-3</v>
      </c>
      <c r="W141" s="235">
        <v>30000</v>
      </c>
      <c r="X141" s="204"/>
      <c r="Y141" s="195">
        <f t="shared" si="112"/>
        <v>100.67114093959731</v>
      </c>
      <c r="Z141" s="244"/>
      <c r="AA141" s="205">
        <v>20</v>
      </c>
      <c r="AB141" s="226" t="s">
        <v>255</v>
      </c>
      <c r="AC141" s="226" t="s">
        <v>52</v>
      </c>
      <c r="AD141" s="227">
        <f>0.5/149*AE141</f>
        <v>0.33892617449664431</v>
      </c>
      <c r="AE141" s="228">
        <f t="shared" si="121"/>
        <v>101</v>
      </c>
      <c r="AF141" s="191">
        <v>1</v>
      </c>
      <c r="AG141" s="192">
        <f>AD141*AF141/AE141</f>
        <v>3.3557046979865771E-3</v>
      </c>
      <c r="AH141" s="235">
        <v>30000</v>
      </c>
      <c r="AI141" s="204"/>
      <c r="AJ141" s="195">
        <f t="shared" si="115"/>
        <v>100.67114093959731</v>
      </c>
      <c r="AK141" s="240"/>
      <c r="AL141" s="241"/>
      <c r="AM141" s="205">
        <v>19</v>
      </c>
      <c r="AN141" s="226" t="s">
        <v>255</v>
      </c>
      <c r="AO141" s="226" t="s">
        <v>52</v>
      </c>
      <c r="AP141" s="227">
        <v>0.5</v>
      </c>
      <c r="AQ141" s="228">
        <f t="shared" si="122"/>
        <v>149</v>
      </c>
      <c r="AR141" s="191">
        <v>1</v>
      </c>
      <c r="AS141" s="192">
        <f>AP141*AR141/AQ141</f>
        <v>3.3557046979865771E-3</v>
      </c>
      <c r="AT141" s="235">
        <v>30000</v>
      </c>
      <c r="AU141" s="204"/>
      <c r="AV141" s="195">
        <f t="shared" si="126"/>
        <v>100.67114093959731</v>
      </c>
      <c r="AW141" s="240"/>
      <c r="AX141" s="5">
        <v>340</v>
      </c>
      <c r="AY141" s="233">
        <f t="shared" si="123"/>
        <v>14999.999999999998</v>
      </c>
      <c r="AZ141" s="231">
        <f t="shared" si="118"/>
        <v>14999.999999999998</v>
      </c>
      <c r="BA141" s="232">
        <f>AY141+AZ141</f>
        <v>29999.999999999996</v>
      </c>
      <c r="BB141" s="39"/>
    </row>
    <row r="142" spans="1:58" s="242" customFormat="1" ht="15" hidden="1" customHeight="1">
      <c r="A142" s="746"/>
      <c r="B142" s="747"/>
      <c r="C142" s="235" t="e">
        <f>'расчет по услугам'!#REF!</f>
        <v>#REF!</v>
      </c>
      <c r="D142" s="238" t="s">
        <v>130</v>
      </c>
      <c r="E142" s="753" t="e">
        <f>'расчет по услугам'!#REF!</f>
        <v>#REF!</v>
      </c>
      <c r="F142" s="753"/>
      <c r="G142" s="191"/>
      <c r="H142" s="192"/>
      <c r="I142" s="235"/>
      <c r="J142" s="194"/>
      <c r="K142" s="195"/>
      <c r="L142" s="240"/>
      <c r="M142" s="277"/>
      <c r="P142" s="243"/>
      <c r="Q142" s="226"/>
      <c r="R142" s="226"/>
      <c r="S142" s="227"/>
      <c r="T142" s="228"/>
      <c r="U142" s="191"/>
      <c r="V142" s="192"/>
      <c r="W142" s="235"/>
      <c r="X142" s="194"/>
      <c r="Y142" s="195"/>
      <c r="Z142" s="244"/>
      <c r="AA142" s="205"/>
      <c r="AB142" s="226"/>
      <c r="AC142" s="226"/>
      <c r="AD142" s="227"/>
      <c r="AE142" s="228"/>
      <c r="AF142" s="191"/>
      <c r="AG142" s="192"/>
      <c r="AH142" s="235"/>
      <c r="AI142" s="194"/>
      <c r="AJ142" s="195"/>
      <c r="AK142" s="240"/>
      <c r="AL142" s="241"/>
      <c r="AM142" s="205"/>
      <c r="AN142" s="226"/>
      <c r="AO142" s="226"/>
      <c r="AP142" s="227"/>
      <c r="AQ142" s="228"/>
      <c r="AR142" s="191"/>
      <c r="AS142" s="192"/>
      <c r="AT142" s="235"/>
      <c r="AU142" s="194"/>
      <c r="AV142" s="195"/>
      <c r="AW142" s="240"/>
      <c r="AX142" s="5"/>
      <c r="AY142" s="233"/>
      <c r="AZ142" s="231"/>
      <c r="BA142" s="232"/>
      <c r="BB142" s="39"/>
    </row>
    <row r="143" spans="1:58" s="242" customFormat="1" ht="15" hidden="1" customHeight="1">
      <c r="A143" s="746"/>
      <c r="B143" s="747"/>
      <c r="C143" s="235" t="e">
        <f>'расчет по услугам'!#REF!</f>
        <v>#REF!</v>
      </c>
      <c r="D143" s="238" t="s">
        <v>130</v>
      </c>
      <c r="E143" s="753" t="e">
        <f>'расчет по услугам'!#REF!</f>
        <v>#REF!</v>
      </c>
      <c r="F143" s="753"/>
      <c r="G143" s="191"/>
      <c r="H143" s="192"/>
      <c r="I143" s="235"/>
      <c r="J143" s="194"/>
      <c r="K143" s="195"/>
      <c r="L143" s="240"/>
      <c r="M143" s="277"/>
      <c r="P143" s="243"/>
      <c r="Q143" s="226"/>
      <c r="R143" s="226"/>
      <c r="S143" s="227"/>
      <c r="T143" s="228"/>
      <c r="U143" s="191"/>
      <c r="V143" s="192"/>
      <c r="W143" s="235"/>
      <c r="X143" s="194"/>
      <c r="Y143" s="195"/>
      <c r="Z143" s="244"/>
      <c r="AA143" s="205"/>
      <c r="AB143" s="226"/>
      <c r="AC143" s="226"/>
      <c r="AD143" s="227"/>
      <c r="AE143" s="228"/>
      <c r="AF143" s="191"/>
      <c r="AG143" s="192"/>
      <c r="AH143" s="235"/>
      <c r="AI143" s="194"/>
      <c r="AJ143" s="195"/>
      <c r="AK143" s="240"/>
      <c r="AL143" s="241"/>
      <c r="AM143" s="205"/>
      <c r="AN143" s="226"/>
      <c r="AO143" s="226"/>
      <c r="AP143" s="227"/>
      <c r="AQ143" s="228"/>
      <c r="AR143" s="191"/>
      <c r="AS143" s="192"/>
      <c r="AT143" s="235"/>
      <c r="AU143" s="194"/>
      <c r="AV143" s="195"/>
      <c r="AW143" s="240"/>
      <c r="AX143" s="5"/>
      <c r="AY143" s="233"/>
      <c r="AZ143" s="231"/>
      <c r="BA143" s="232"/>
      <c r="BB143" s="39"/>
    </row>
    <row r="144" spans="1:58" ht="15" hidden="1" customHeight="1">
      <c r="A144" s="746"/>
      <c r="B144" s="747"/>
      <c r="C144" s="235" t="e">
        <f>'расчет по услугам'!#REF!</f>
        <v>#REF!</v>
      </c>
      <c r="D144" s="238" t="s">
        <v>130</v>
      </c>
      <c r="E144" s="753" t="e">
        <f>'расчет по услугам'!#REF!</f>
        <v>#REF!</v>
      </c>
      <c r="F144" s="753"/>
      <c r="G144" s="191">
        <v>1</v>
      </c>
      <c r="H144" s="192" t="e">
        <f>F144*G144/#REF!</f>
        <v>#REF!</v>
      </c>
      <c r="I144" s="235">
        <v>40</v>
      </c>
      <c r="J144" s="194"/>
      <c r="K144" s="195" t="e">
        <f t="shared" ref="K144:K145" si="127">H144*I144</f>
        <v>#REF!</v>
      </c>
      <c r="L144" s="205"/>
      <c r="M144" s="274"/>
      <c r="Q144" s="226" t="s">
        <v>256</v>
      </c>
      <c r="R144" s="226" t="s">
        <v>142</v>
      </c>
      <c r="S144" s="227">
        <f>20/149*T144</f>
        <v>6.4429530201342278</v>
      </c>
      <c r="T144" s="228">
        <v>48</v>
      </c>
      <c r="U144" s="191">
        <v>1</v>
      </c>
      <c r="V144" s="192">
        <f t="shared" ref="V144:V145" si="128">S144*U144/T144</f>
        <v>0.13422818791946309</v>
      </c>
      <c r="W144" s="235">
        <v>40</v>
      </c>
      <c r="X144" s="194"/>
      <c r="Y144" s="195">
        <f t="shared" ref="Y144:Y145" si="129">V144*W144</f>
        <v>5.3691275167785237</v>
      </c>
      <c r="AA144" s="205">
        <v>23</v>
      </c>
      <c r="AB144" s="226" t="s">
        <v>256</v>
      </c>
      <c r="AC144" s="226" t="s">
        <v>142</v>
      </c>
      <c r="AD144" s="227">
        <f>20/149*AE144</f>
        <v>13.557046979865772</v>
      </c>
      <c r="AE144" s="228">
        <v>101</v>
      </c>
      <c r="AF144" s="191">
        <v>1</v>
      </c>
      <c r="AG144" s="192">
        <f t="shared" ref="AG144:AG145" si="130">AD144*AF144/AE144</f>
        <v>0.13422818791946309</v>
      </c>
      <c r="AH144" s="235">
        <v>40</v>
      </c>
      <c r="AI144" s="194"/>
      <c r="AJ144" s="195">
        <f t="shared" si="115"/>
        <v>5.3691275167785237</v>
      </c>
      <c r="AK144" s="205"/>
      <c r="AL144" s="197"/>
      <c r="AM144" s="205">
        <v>20</v>
      </c>
      <c r="AN144" s="226" t="s">
        <v>257</v>
      </c>
      <c r="AO144" s="229" t="s">
        <v>142</v>
      </c>
      <c r="AP144" s="227">
        <v>90</v>
      </c>
      <c r="AQ144" s="228">
        <f>AQ141</f>
        <v>149</v>
      </c>
      <c r="AR144" s="191">
        <v>1</v>
      </c>
      <c r="AS144" s="192">
        <f>AP144*AR144/AQ144</f>
        <v>0.60402684563758391</v>
      </c>
      <c r="AT144" s="225">
        <v>700</v>
      </c>
      <c r="AU144" s="204"/>
      <c r="AV144" s="195">
        <f t="shared" ref="AV144:AV145" si="131">AS144*AT144</f>
        <v>422.81879194630875</v>
      </c>
      <c r="AW144" s="205"/>
      <c r="AX144" s="5">
        <v>340</v>
      </c>
      <c r="AY144" s="233">
        <f t="shared" si="123"/>
        <v>800</v>
      </c>
      <c r="AZ144" s="231">
        <f t="shared" si="118"/>
        <v>63000.000000000007</v>
      </c>
      <c r="BA144" s="232">
        <f t="shared" si="119"/>
        <v>63800.000000000007</v>
      </c>
      <c r="BB144" s="39"/>
    </row>
    <row r="145" spans="1:54" ht="15" hidden="1" customHeight="1">
      <c r="A145" s="746"/>
      <c r="B145" s="747"/>
      <c r="C145" s="235" t="e">
        <f>'расчет по услугам'!#REF!</f>
        <v>#REF!</v>
      </c>
      <c r="D145" s="238" t="s">
        <v>130</v>
      </c>
      <c r="E145" s="753" t="e">
        <f>'расчет по услугам'!#REF!</f>
        <v>#REF!</v>
      </c>
      <c r="F145" s="753"/>
      <c r="G145" s="191">
        <v>1</v>
      </c>
      <c r="H145" s="192" t="e">
        <f>F145*G145/#REF!</f>
        <v>#REF!</v>
      </c>
      <c r="I145" s="235">
        <v>250</v>
      </c>
      <c r="J145" s="194"/>
      <c r="K145" s="195" t="e">
        <f t="shared" si="127"/>
        <v>#REF!</v>
      </c>
      <c r="L145" s="205"/>
      <c r="M145" s="274"/>
      <c r="Q145" s="226" t="s">
        <v>259</v>
      </c>
      <c r="R145" s="226" t="s">
        <v>258</v>
      </c>
      <c r="S145" s="227">
        <f>10/149*T145</f>
        <v>3.2214765100671139</v>
      </c>
      <c r="T145" s="228">
        <f t="shared" si="120"/>
        <v>48</v>
      </c>
      <c r="U145" s="191">
        <v>1</v>
      </c>
      <c r="V145" s="192">
        <f t="shared" si="128"/>
        <v>6.7114093959731544E-2</v>
      </c>
      <c r="W145" s="235">
        <v>250</v>
      </c>
      <c r="X145" s="194"/>
      <c r="Y145" s="195">
        <f t="shared" si="129"/>
        <v>16.778523489932887</v>
      </c>
      <c r="AA145" s="205">
        <v>24</v>
      </c>
      <c r="AB145" s="226" t="s">
        <v>259</v>
      </c>
      <c r="AC145" s="226" t="s">
        <v>258</v>
      </c>
      <c r="AD145" s="227">
        <f>10/149*AE145</f>
        <v>6.7785234899328861</v>
      </c>
      <c r="AE145" s="228">
        <f t="shared" si="121"/>
        <v>101</v>
      </c>
      <c r="AF145" s="191">
        <v>1</v>
      </c>
      <c r="AG145" s="192">
        <f t="shared" si="130"/>
        <v>6.7114093959731544E-2</v>
      </c>
      <c r="AH145" s="235">
        <v>250</v>
      </c>
      <c r="AI145" s="194"/>
      <c r="AJ145" s="195">
        <f t="shared" si="115"/>
        <v>16.778523489932887</v>
      </c>
      <c r="AK145" s="205"/>
      <c r="AL145" s="197"/>
      <c r="AM145" s="205">
        <v>21</v>
      </c>
      <c r="AN145" s="226" t="s">
        <v>260</v>
      </c>
      <c r="AO145" s="229" t="s">
        <v>142</v>
      </c>
      <c r="AP145" s="227">
        <v>120</v>
      </c>
      <c r="AQ145" s="228">
        <f t="shared" ref="AQ145" si="132">AQ144</f>
        <v>149</v>
      </c>
      <c r="AR145" s="191">
        <v>1</v>
      </c>
      <c r="AS145" s="192">
        <f t="shared" ref="AS145" si="133">AP145*AR145/AQ145</f>
        <v>0.80536912751677847</v>
      </c>
      <c r="AT145" s="225">
        <v>120</v>
      </c>
      <c r="AU145" s="204"/>
      <c r="AV145" s="195">
        <f t="shared" si="131"/>
        <v>96.644295302013418</v>
      </c>
      <c r="AW145" s="205"/>
      <c r="AX145" s="5">
        <v>340</v>
      </c>
      <c r="AY145" s="233">
        <f t="shared" si="123"/>
        <v>2500</v>
      </c>
      <c r="AZ145" s="231">
        <f t="shared" si="118"/>
        <v>14400</v>
      </c>
      <c r="BA145" s="232">
        <f t="shared" si="119"/>
        <v>16900</v>
      </c>
      <c r="BB145" s="39"/>
    </row>
    <row r="146" spans="1:54">
      <c r="A146" s="746"/>
      <c r="B146" s="747"/>
      <c r="C146" s="235" t="e">
        <f>'расчет по услугам'!#REF!</f>
        <v>#REF!</v>
      </c>
      <c r="D146" s="238" t="s">
        <v>130</v>
      </c>
      <c r="E146" s="753" t="e">
        <f>'расчет по услугам'!#REF!</f>
        <v>#REF!</v>
      </c>
      <c r="F146" s="753"/>
    </row>
  </sheetData>
  <mergeCells count="282">
    <mergeCell ref="E146:F146"/>
    <mergeCell ref="A12:A146"/>
    <mergeCell ref="B12:B146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C120:J120"/>
    <mergeCell ref="AA120:AI120"/>
    <mergeCell ref="AM120:AU120"/>
    <mergeCell ref="C121:L121"/>
    <mergeCell ref="AA121:AK121"/>
    <mergeCell ref="AM121:AW121"/>
    <mergeCell ref="E109:F109"/>
    <mergeCell ref="E110:F110"/>
    <mergeCell ref="E111:F111"/>
    <mergeCell ref="E112:F112"/>
    <mergeCell ref="E113:F113"/>
    <mergeCell ref="E114:F114"/>
    <mergeCell ref="E103:F103"/>
    <mergeCell ref="E104:F104"/>
    <mergeCell ref="E105:F105"/>
    <mergeCell ref="E106:F106"/>
    <mergeCell ref="E107:F107"/>
    <mergeCell ref="E108:F108"/>
    <mergeCell ref="E100:F100"/>
    <mergeCell ref="C101:J101"/>
    <mergeCell ref="AA101:AI101"/>
    <mergeCell ref="AM101:AU101"/>
    <mergeCell ref="C102:L102"/>
    <mergeCell ref="AA102:AK102"/>
    <mergeCell ref="AM102:AW102"/>
    <mergeCell ref="E97:F97"/>
    <mergeCell ref="C98:J98"/>
    <mergeCell ref="AA98:AI98"/>
    <mergeCell ref="AM98:AU98"/>
    <mergeCell ref="C99:L99"/>
    <mergeCell ref="AA99:AK99"/>
    <mergeCell ref="AM99:AW99"/>
    <mergeCell ref="C93:L93"/>
    <mergeCell ref="AA93:AK93"/>
    <mergeCell ref="AM93:AW93"/>
    <mergeCell ref="E94:F94"/>
    <mergeCell ref="E95:F95"/>
    <mergeCell ref="E96:F96"/>
    <mergeCell ref="C88:L88"/>
    <mergeCell ref="AA88:AK88"/>
    <mergeCell ref="AM88:AW88"/>
    <mergeCell ref="C92:J92"/>
    <mergeCell ref="AA92:AI92"/>
    <mergeCell ref="AM92:AU92"/>
    <mergeCell ref="E84:F84"/>
    <mergeCell ref="E85:F85"/>
    <mergeCell ref="E86:F86"/>
    <mergeCell ref="C87:J87"/>
    <mergeCell ref="AA87:AI87"/>
    <mergeCell ref="AM87:AU87"/>
    <mergeCell ref="E78:F78"/>
    <mergeCell ref="E79:F79"/>
    <mergeCell ref="E80:F80"/>
    <mergeCell ref="E81:F81"/>
    <mergeCell ref="E82:F82"/>
    <mergeCell ref="E83:F83"/>
    <mergeCell ref="E75:F75"/>
    <mergeCell ref="C76:J76"/>
    <mergeCell ref="AA76:AI76"/>
    <mergeCell ref="AM76:AU76"/>
    <mergeCell ref="C77:L77"/>
    <mergeCell ref="AA77:AK77"/>
    <mergeCell ref="AM77:AW77"/>
    <mergeCell ref="C71:L71"/>
    <mergeCell ref="AA71:AK71"/>
    <mergeCell ref="AM71:AW71"/>
    <mergeCell ref="E72:F72"/>
    <mergeCell ref="E73:F73"/>
    <mergeCell ref="E74:F74"/>
    <mergeCell ref="AW58:AW67"/>
    <mergeCell ref="C67:J67"/>
    <mergeCell ref="AA67:AI67"/>
    <mergeCell ref="AM67:AU67"/>
    <mergeCell ref="C68:J68"/>
    <mergeCell ref="AA68:AI68"/>
    <mergeCell ref="AM68:AU68"/>
    <mergeCell ref="E56:F56"/>
    <mergeCell ref="R56:S56"/>
    <mergeCell ref="AC56:AD56"/>
    <mergeCell ref="AO56:AP56"/>
    <mergeCell ref="L58:L67"/>
    <mergeCell ref="AK58:AK67"/>
    <mergeCell ref="E54:F54"/>
    <mergeCell ref="R54:S54"/>
    <mergeCell ref="AC54:AD54"/>
    <mergeCell ref="AO54:AP54"/>
    <mergeCell ref="E55:F55"/>
    <mergeCell ref="R55:S55"/>
    <mergeCell ref="AC55:AD55"/>
    <mergeCell ref="AO55:AP55"/>
    <mergeCell ref="C51:J51"/>
    <mergeCell ref="AA51:AI51"/>
    <mergeCell ref="AM51:AU51"/>
    <mergeCell ref="C53:L53"/>
    <mergeCell ref="AA53:AK53"/>
    <mergeCell ref="AM53:AW53"/>
    <mergeCell ref="E49:F49"/>
    <mergeCell ref="R49:S49"/>
    <mergeCell ref="AC49:AD49"/>
    <mergeCell ref="AO49:AP49"/>
    <mergeCell ref="E50:F50"/>
    <mergeCell ref="R50:S50"/>
    <mergeCell ref="AC50:AD50"/>
    <mergeCell ref="AO50:AP50"/>
    <mergeCell ref="E47:F47"/>
    <mergeCell ref="R47:S47"/>
    <mergeCell ref="AC47:AD47"/>
    <mergeCell ref="AO47:AP47"/>
    <mergeCell ref="E48:F48"/>
    <mergeCell ref="R48:S48"/>
    <mergeCell ref="AC48:AD48"/>
    <mergeCell ref="AO48:AP48"/>
    <mergeCell ref="E45:F45"/>
    <mergeCell ref="R45:S45"/>
    <mergeCell ref="AC45:AD45"/>
    <mergeCell ref="AO45:AP45"/>
    <mergeCell ref="E46:F46"/>
    <mergeCell ref="R46:S46"/>
    <mergeCell ref="AC46:AD46"/>
    <mergeCell ref="AO46:AP46"/>
    <mergeCell ref="E43:F43"/>
    <mergeCell ref="R43:S43"/>
    <mergeCell ref="AC43:AD43"/>
    <mergeCell ref="AO43:AP43"/>
    <mergeCell ref="E44:F44"/>
    <mergeCell ref="R44:S44"/>
    <mergeCell ref="AC44:AD44"/>
    <mergeCell ref="AO44:AP44"/>
    <mergeCell ref="E41:F41"/>
    <mergeCell ref="R41:S41"/>
    <mergeCell ref="AC41:AD41"/>
    <mergeCell ref="AO41:AP41"/>
    <mergeCell ref="E42:F42"/>
    <mergeCell ref="R42:S42"/>
    <mergeCell ref="AC42:AD42"/>
    <mergeCell ref="AO42:AP42"/>
    <mergeCell ref="E39:F39"/>
    <mergeCell ref="R39:S39"/>
    <mergeCell ref="AC39:AD39"/>
    <mergeCell ref="AO39:AP39"/>
    <mergeCell ref="E40:F40"/>
    <mergeCell ref="R40:S40"/>
    <mergeCell ref="AC40:AD40"/>
    <mergeCell ref="AO40:AP40"/>
    <mergeCell ref="E37:F37"/>
    <mergeCell ref="R37:S37"/>
    <mergeCell ref="AC37:AD37"/>
    <mergeCell ref="AO37:AP37"/>
    <mergeCell ref="E38:F38"/>
    <mergeCell ref="R38:S38"/>
    <mergeCell ref="AC38:AD38"/>
    <mergeCell ref="AO38:AP38"/>
    <mergeCell ref="E35:F35"/>
    <mergeCell ref="R35:S35"/>
    <mergeCell ref="AC35:AD35"/>
    <mergeCell ref="AO35:AP35"/>
    <mergeCell ref="E36:F36"/>
    <mergeCell ref="R36:S36"/>
    <mergeCell ref="AC36:AD36"/>
    <mergeCell ref="AO36:AP36"/>
    <mergeCell ref="AO33:AP33"/>
    <mergeCell ref="E34:F34"/>
    <mergeCell ref="R34:S34"/>
    <mergeCell ref="AC34:AD34"/>
    <mergeCell ref="AO34:AP34"/>
    <mergeCell ref="E31:F31"/>
    <mergeCell ref="R31:S31"/>
    <mergeCell ref="AC31:AD31"/>
    <mergeCell ref="AO31:AP31"/>
    <mergeCell ref="E32:F32"/>
    <mergeCell ref="R32:S32"/>
    <mergeCell ref="AC32:AD32"/>
    <mergeCell ref="AO32:AP32"/>
    <mergeCell ref="E30:F30"/>
    <mergeCell ref="R30:S30"/>
    <mergeCell ref="AC30:AD30"/>
    <mergeCell ref="AO30:AP30"/>
    <mergeCell ref="AW25:AW51"/>
    <mergeCell ref="E26:F26"/>
    <mergeCell ref="R26:S26"/>
    <mergeCell ref="AC26:AD26"/>
    <mergeCell ref="AO26:AP26"/>
    <mergeCell ref="E27:F27"/>
    <mergeCell ref="R27:S27"/>
    <mergeCell ref="AC27:AD27"/>
    <mergeCell ref="AO27:AP27"/>
    <mergeCell ref="E28:F28"/>
    <mergeCell ref="E25:F25"/>
    <mergeCell ref="L25:L51"/>
    <mergeCell ref="R25:S25"/>
    <mergeCell ref="AC25:AD25"/>
    <mergeCell ref="AK25:AK51"/>
    <mergeCell ref="AO25:AP25"/>
    <mergeCell ref="R28:S28"/>
    <mergeCell ref="E33:F33"/>
    <mergeCell ref="R33:S33"/>
    <mergeCell ref="AC33:AD33"/>
    <mergeCell ref="AC28:AD28"/>
    <mergeCell ref="AO28:AP28"/>
    <mergeCell ref="E29:F29"/>
    <mergeCell ref="E23:F23"/>
    <mergeCell ref="R23:S23"/>
    <mergeCell ref="AC23:AD23"/>
    <mergeCell ref="AO23:AP23"/>
    <mergeCell ref="C24:L24"/>
    <mergeCell ref="AA24:AK24"/>
    <mergeCell ref="AM24:AW24"/>
    <mergeCell ref="R29:S29"/>
    <mergeCell ref="AC29:AD29"/>
    <mergeCell ref="AO29:AP29"/>
    <mergeCell ref="C21:F21"/>
    <mergeCell ref="E22:F22"/>
    <mergeCell ref="R22:S22"/>
    <mergeCell ref="AC22:AD22"/>
    <mergeCell ref="AO22:AP22"/>
    <mergeCell ref="AC17:AD17"/>
    <mergeCell ref="AO17:AP17"/>
    <mergeCell ref="E18:F18"/>
    <mergeCell ref="R18:S18"/>
    <mergeCell ref="AC18:AD18"/>
    <mergeCell ref="AO18:AP18"/>
    <mergeCell ref="BC14:BC19"/>
    <mergeCell ref="E15:F15"/>
    <mergeCell ref="R15:S15"/>
    <mergeCell ref="AC15:AD15"/>
    <mergeCell ref="AO15:AP15"/>
    <mergeCell ref="E16:F16"/>
    <mergeCell ref="R16:S16"/>
    <mergeCell ref="AC16:AD16"/>
    <mergeCell ref="E17:F17"/>
    <mergeCell ref="R17:S17"/>
    <mergeCell ref="C19:J19"/>
    <mergeCell ref="AA19:AI19"/>
    <mergeCell ref="AM19:AU19"/>
    <mergeCell ref="E14:F14"/>
    <mergeCell ref="R14:S14"/>
    <mergeCell ref="AC14:AD14"/>
    <mergeCell ref="AO14:AP14"/>
    <mergeCell ref="E11:F11"/>
    <mergeCell ref="R11:S11"/>
    <mergeCell ref="AC11:AD11"/>
    <mergeCell ref="AO11:AP11"/>
    <mergeCell ref="C12:L12"/>
    <mergeCell ref="AA12:AK12"/>
    <mergeCell ref="AM12:AW12"/>
    <mergeCell ref="E13:F13"/>
    <mergeCell ref="E3:I3"/>
    <mergeCell ref="B6:F6"/>
    <mergeCell ref="E10:F10"/>
    <mergeCell ref="R10:S10"/>
    <mergeCell ref="AC10:AD10"/>
    <mergeCell ref="AO10:AP10"/>
    <mergeCell ref="R13:S13"/>
    <mergeCell ref="AC13:AD13"/>
    <mergeCell ref="AO13:AP13"/>
  </mergeCells>
  <pageMargins left="0.78740157480314965" right="0.59055118110236227" top="0.39370078740157483" bottom="0.39370078740157483" header="0.31496062992125984" footer="0.31496062992125984"/>
  <pageSetup paperSize="9" scale="72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K146"/>
  <sheetViews>
    <sheetView view="pageBreakPreview" topLeftCell="A10" zoomScaleNormal="80" zoomScaleSheetLayoutView="100" zoomScalePageLayoutView="85" workbookViewId="0">
      <selection activeCell="E13" sqref="E13:F13"/>
    </sheetView>
  </sheetViews>
  <sheetFormatPr defaultColWidth="8.85546875" defaultRowHeight="15" outlineLevelRow="2"/>
  <cols>
    <col min="1" max="1" width="17.42578125" style="5" customWidth="1"/>
    <col min="2" max="2" width="29" style="5" customWidth="1"/>
    <col min="3" max="3" width="33.5703125" style="5" customWidth="1"/>
    <col min="4" max="4" width="21.85546875" style="5" customWidth="1"/>
    <col min="5" max="5" width="11.5703125" style="5" customWidth="1"/>
    <col min="6" max="6" width="7.85546875" style="5" customWidth="1"/>
    <col min="7" max="7" width="23.85546875" style="14" hidden="1" customWidth="1"/>
    <col min="8" max="8" width="20.28515625" style="5" hidden="1" customWidth="1"/>
    <col min="9" max="9" width="17.140625" style="5" hidden="1" customWidth="1"/>
    <col min="10" max="10" width="12.140625" style="5" hidden="1" customWidth="1"/>
    <col min="11" max="11" width="19.7109375" style="5" hidden="1" customWidth="1"/>
    <col min="12" max="12" width="5.5703125" style="5" hidden="1" customWidth="1"/>
    <col min="13" max="13" width="4" style="67" hidden="1" customWidth="1"/>
    <col min="14" max="15" width="0" style="5" hidden="1" customWidth="1"/>
    <col min="16" max="16" width="5" style="68" hidden="1" customWidth="1"/>
    <col min="17" max="17" width="33.5703125" style="5" hidden="1" customWidth="1"/>
    <col min="18" max="18" width="11.5703125" style="5" hidden="1" customWidth="1"/>
    <col min="19" max="19" width="18.28515625" style="5" hidden="1" customWidth="1"/>
    <col min="20" max="20" width="20.85546875" style="5" hidden="1" customWidth="1"/>
    <col min="21" max="21" width="23.85546875" style="14" hidden="1" customWidth="1"/>
    <col min="22" max="22" width="20.28515625" style="5" hidden="1" customWidth="1"/>
    <col min="23" max="23" width="17.140625" style="5" hidden="1" customWidth="1"/>
    <col min="24" max="24" width="12.140625" style="5" hidden="1" customWidth="1"/>
    <col min="25" max="25" width="19.7109375" style="5" hidden="1" customWidth="1"/>
    <col min="26" max="26" width="5" style="39" hidden="1" customWidth="1"/>
    <col min="27" max="27" width="5.85546875" style="5" hidden="1" customWidth="1"/>
    <col min="28" max="28" width="33.5703125" style="5" hidden="1" customWidth="1"/>
    <col min="29" max="29" width="11.5703125" style="5" hidden="1" customWidth="1"/>
    <col min="30" max="30" width="18.28515625" style="5" hidden="1" customWidth="1"/>
    <col min="31" max="31" width="20.85546875" style="5" hidden="1" customWidth="1"/>
    <col min="32" max="32" width="23.85546875" style="14" hidden="1" customWidth="1"/>
    <col min="33" max="33" width="20.28515625" style="5" hidden="1" customWidth="1"/>
    <col min="34" max="34" width="17.140625" style="5" hidden="1" customWidth="1"/>
    <col min="35" max="35" width="12.140625" style="5" hidden="1" customWidth="1"/>
    <col min="36" max="36" width="19.7109375" style="5" hidden="1" customWidth="1"/>
    <col min="37" max="37" width="5.5703125" style="5" hidden="1" customWidth="1"/>
    <col min="38" max="38" width="4" style="67" hidden="1" customWidth="1"/>
    <col min="39" max="39" width="5.85546875" style="5" hidden="1" customWidth="1"/>
    <col min="40" max="40" width="34.7109375" style="5" hidden="1" customWidth="1"/>
    <col min="41" max="41" width="11.5703125" style="5" hidden="1" customWidth="1"/>
    <col min="42" max="42" width="10.85546875" style="5" hidden="1" customWidth="1"/>
    <col min="43" max="43" width="14" style="5" hidden="1" customWidth="1"/>
    <col min="44" max="44" width="14.85546875" style="14" hidden="1" customWidth="1"/>
    <col min="45" max="45" width="20.28515625" style="5" hidden="1" customWidth="1"/>
    <col min="46" max="46" width="12.7109375" style="5" hidden="1" customWidth="1"/>
    <col min="47" max="47" width="12.140625" style="5" hidden="1" customWidth="1"/>
    <col min="48" max="48" width="19.7109375" style="5" hidden="1" customWidth="1"/>
    <col min="49" max="49" width="5.5703125" style="5" hidden="1" customWidth="1"/>
    <col min="50" max="50" width="12.140625" style="5" hidden="1" customWidth="1"/>
    <col min="51" max="51" width="20.7109375" style="5" hidden="1" customWidth="1"/>
    <col min="52" max="54" width="18.7109375" style="5" hidden="1" customWidth="1"/>
    <col min="55" max="55" width="20.85546875" style="5" hidden="1" customWidth="1"/>
    <col min="56" max="56" width="18.5703125" style="5" hidden="1" customWidth="1"/>
    <col min="57" max="57" width="17" style="5" hidden="1" customWidth="1"/>
    <col min="58" max="58" width="13" style="5" hidden="1" customWidth="1"/>
    <col min="59" max="59" width="12.7109375" style="5" hidden="1" customWidth="1"/>
    <col min="60" max="60" width="19.7109375" style="5" hidden="1" customWidth="1"/>
    <col min="61" max="63" width="8.85546875" style="5" hidden="1" customWidth="1"/>
    <col min="64" max="82" width="0" style="5" hidden="1" customWidth="1"/>
    <col min="83" max="16384" width="8.85546875" style="5"/>
  </cols>
  <sheetData>
    <row r="1" spans="1:61" hidden="1"/>
    <row r="2" spans="1:61" s="39" customFormat="1" ht="19.5" hidden="1" customHeight="1">
      <c r="P2" s="68"/>
      <c r="T2" s="69"/>
      <c r="AE2" s="69"/>
      <c r="AO2" s="39" t="s">
        <v>172</v>
      </c>
      <c r="AQ2" s="69" t="s">
        <v>173</v>
      </c>
    </row>
    <row r="3" spans="1:61" s="39" customFormat="1" ht="79.5" hidden="1" customHeight="1">
      <c r="E3" s="754" t="s">
        <v>174</v>
      </c>
      <c r="F3" s="755"/>
      <c r="G3" s="755"/>
      <c r="H3" s="755"/>
      <c r="I3" s="755"/>
      <c r="P3" s="68"/>
      <c r="T3" s="69"/>
      <c r="AE3" s="69"/>
      <c r="AQ3" s="69"/>
    </row>
    <row r="4" spans="1:61" s="39" customFormat="1" ht="19.5" hidden="1" customHeight="1">
      <c r="P4" s="68"/>
      <c r="T4" s="69"/>
      <c r="AE4" s="69"/>
      <c r="AQ4" s="69"/>
    </row>
    <row r="5" spans="1:61" s="39" customFormat="1" ht="19.5" hidden="1" customHeight="1">
      <c r="P5" s="68"/>
      <c r="T5" s="69"/>
      <c r="AE5" s="69"/>
      <c r="AQ5" s="69"/>
    </row>
    <row r="6" spans="1:61" s="39" customFormat="1" ht="47.25" hidden="1" customHeight="1">
      <c r="B6" s="756" t="s">
        <v>175</v>
      </c>
      <c r="C6" s="756"/>
      <c r="D6" s="756"/>
      <c r="E6" s="756"/>
      <c r="F6" s="756"/>
      <c r="G6" s="70"/>
      <c r="H6" s="70"/>
      <c r="P6" s="68"/>
      <c r="T6" s="69"/>
      <c r="AE6" s="69"/>
      <c r="AQ6" s="69"/>
    </row>
    <row r="7" spans="1:61" s="39" customFormat="1" ht="19.5" hidden="1" customHeight="1">
      <c r="P7" s="68"/>
      <c r="T7" s="69"/>
      <c r="AE7" s="69"/>
      <c r="AQ7" s="69"/>
    </row>
    <row r="8" spans="1:61" s="39" customFormat="1" ht="19.5" hidden="1" customHeight="1">
      <c r="P8" s="68"/>
      <c r="T8" s="69"/>
      <c r="AE8" s="69"/>
      <c r="AQ8" s="69"/>
    </row>
    <row r="9" spans="1:61" s="39" customFormat="1" hidden="1">
      <c r="P9" s="68"/>
      <c r="AY9" s="39" t="s">
        <v>172</v>
      </c>
      <c r="BA9" s="39" t="s">
        <v>176</v>
      </c>
    </row>
    <row r="10" spans="1:61" ht="90" customHeight="1" thickBot="1">
      <c r="A10" s="71" t="s">
        <v>177</v>
      </c>
      <c r="B10" s="71" t="s">
        <v>178</v>
      </c>
      <c r="C10" s="73" t="s">
        <v>179</v>
      </c>
      <c r="D10" s="73" t="s">
        <v>180</v>
      </c>
      <c r="E10" s="757" t="s">
        <v>181</v>
      </c>
      <c r="F10" s="757"/>
      <c r="G10" s="74" t="s">
        <v>2</v>
      </c>
      <c r="H10" s="74" t="s">
        <v>78</v>
      </c>
      <c r="I10" s="74"/>
      <c r="J10" s="74" t="s">
        <v>99</v>
      </c>
      <c r="K10" s="74" t="s">
        <v>5</v>
      </c>
      <c r="L10" s="74" t="s">
        <v>0</v>
      </c>
      <c r="M10" s="75"/>
      <c r="Q10" s="74" t="s">
        <v>4</v>
      </c>
      <c r="R10" s="758" t="s">
        <v>100</v>
      </c>
      <c r="S10" s="759"/>
      <c r="T10" s="74" t="s">
        <v>57</v>
      </c>
      <c r="U10" s="74" t="s">
        <v>2</v>
      </c>
      <c r="V10" s="74" t="s">
        <v>78</v>
      </c>
      <c r="W10" s="74"/>
      <c r="X10" s="74" t="s">
        <v>99</v>
      </c>
      <c r="Y10" s="74" t="s">
        <v>5</v>
      </c>
      <c r="AA10" s="74" t="s">
        <v>1</v>
      </c>
      <c r="AB10" s="74" t="s">
        <v>4</v>
      </c>
      <c r="AC10" s="758" t="s">
        <v>100</v>
      </c>
      <c r="AD10" s="759"/>
      <c r="AE10" s="74" t="s">
        <v>57</v>
      </c>
      <c r="AF10" s="74" t="s">
        <v>2</v>
      </c>
      <c r="AG10" s="74" t="s">
        <v>78</v>
      </c>
      <c r="AH10" s="74"/>
      <c r="AI10" s="74" t="s">
        <v>99</v>
      </c>
      <c r="AJ10" s="74" t="s">
        <v>5</v>
      </c>
      <c r="AK10" s="74" t="s">
        <v>0</v>
      </c>
      <c r="AL10" s="75"/>
      <c r="AM10" s="74" t="s">
        <v>1</v>
      </c>
      <c r="AN10" s="74" t="s">
        <v>4</v>
      </c>
      <c r="AO10" s="758" t="s">
        <v>100</v>
      </c>
      <c r="AP10" s="759"/>
      <c r="AQ10" s="74" t="s">
        <v>57</v>
      </c>
      <c r="AR10" s="74" t="s">
        <v>2</v>
      </c>
      <c r="AS10" s="74" t="s">
        <v>78</v>
      </c>
      <c r="AT10" s="74"/>
      <c r="AU10" s="74" t="s">
        <v>99</v>
      </c>
      <c r="AV10" s="74" t="s">
        <v>5</v>
      </c>
      <c r="AW10" s="74" t="s">
        <v>0</v>
      </c>
      <c r="AX10" s="76" t="s">
        <v>182</v>
      </c>
      <c r="AY10" s="5">
        <v>2382</v>
      </c>
      <c r="AZ10" s="5">
        <f>576*36*2382</f>
        <v>49393152</v>
      </c>
      <c r="BF10" s="5" t="s">
        <v>183</v>
      </c>
      <c r="BG10" s="5" t="s">
        <v>184</v>
      </c>
      <c r="BH10" s="5">
        <f>135/6</f>
        <v>22.5</v>
      </c>
    </row>
    <row r="11" spans="1:61" ht="15.75" thickBot="1">
      <c r="A11" s="77">
        <v>1</v>
      </c>
      <c r="B11" s="77">
        <v>2</v>
      </c>
      <c r="C11" s="79">
        <v>3</v>
      </c>
      <c r="D11" s="79">
        <v>4</v>
      </c>
      <c r="E11" s="762">
        <v>5</v>
      </c>
      <c r="F11" s="762"/>
      <c r="G11" s="74">
        <v>4</v>
      </c>
      <c r="H11" s="74" t="s">
        <v>77</v>
      </c>
      <c r="I11" s="74"/>
      <c r="J11" s="74">
        <v>6</v>
      </c>
      <c r="K11" s="74" t="s">
        <v>56</v>
      </c>
      <c r="L11" s="74">
        <v>8</v>
      </c>
      <c r="M11" s="75"/>
      <c r="Q11" s="74">
        <v>2</v>
      </c>
      <c r="R11" s="758"/>
      <c r="S11" s="759"/>
      <c r="T11" s="74">
        <v>3</v>
      </c>
      <c r="U11" s="74">
        <v>4</v>
      </c>
      <c r="V11" s="74" t="s">
        <v>77</v>
      </c>
      <c r="W11" s="74"/>
      <c r="X11" s="74">
        <v>6</v>
      </c>
      <c r="Y11" s="74" t="s">
        <v>56</v>
      </c>
      <c r="AA11" s="74">
        <v>1</v>
      </c>
      <c r="AB11" s="74">
        <v>2</v>
      </c>
      <c r="AC11" s="758"/>
      <c r="AD11" s="759"/>
      <c r="AE11" s="74">
        <v>3</v>
      </c>
      <c r="AF11" s="74">
        <v>4</v>
      </c>
      <c r="AG11" s="74" t="s">
        <v>77</v>
      </c>
      <c r="AH11" s="74"/>
      <c r="AI11" s="74">
        <v>6</v>
      </c>
      <c r="AJ11" s="74" t="s">
        <v>56</v>
      </c>
      <c r="AK11" s="74">
        <v>8</v>
      </c>
      <c r="AL11" s="75"/>
      <c r="AM11" s="74">
        <v>1</v>
      </c>
      <c r="AN11" s="74">
        <v>2</v>
      </c>
      <c r="AO11" s="758"/>
      <c r="AP11" s="759"/>
      <c r="AQ11" s="74">
        <v>3</v>
      </c>
      <c r="AR11" s="74">
        <v>4</v>
      </c>
      <c r="AS11" s="74" t="s">
        <v>77</v>
      </c>
      <c r="AT11" s="74"/>
      <c r="AU11" s="74">
        <v>6</v>
      </c>
      <c r="AV11" s="74" t="s">
        <v>56</v>
      </c>
      <c r="AW11" s="74">
        <v>8</v>
      </c>
      <c r="AX11" s="76"/>
      <c r="AY11" s="80" t="s">
        <v>185</v>
      </c>
      <c r="AZ11" s="81"/>
      <c r="BA11" s="80" t="s">
        <v>186</v>
      </c>
      <c r="BB11" s="81"/>
      <c r="BF11" s="5" t="s">
        <v>187</v>
      </c>
      <c r="BG11" s="5">
        <f>13*36</f>
        <v>468</v>
      </c>
      <c r="BH11" s="5">
        <f>BG11*18</f>
        <v>8424</v>
      </c>
      <c r="BI11" s="5" t="s">
        <v>188</v>
      </c>
    </row>
    <row r="12" spans="1:61" ht="39.75" customHeight="1">
      <c r="A12" s="746" t="s">
        <v>282</v>
      </c>
      <c r="B12" s="747" t="s">
        <v>281</v>
      </c>
      <c r="C12" s="749" t="s">
        <v>190</v>
      </c>
      <c r="D12" s="749"/>
      <c r="E12" s="749"/>
      <c r="F12" s="749"/>
      <c r="G12" s="749"/>
      <c r="H12" s="749"/>
      <c r="I12" s="749"/>
      <c r="J12" s="749"/>
      <c r="K12" s="749"/>
      <c r="L12" s="749"/>
      <c r="M12" s="82"/>
      <c r="Q12" s="68"/>
      <c r="R12" s="68"/>
      <c r="S12" s="68"/>
      <c r="T12" s="68"/>
      <c r="U12" s="68"/>
      <c r="V12" s="39"/>
      <c r="W12" s="39"/>
      <c r="X12" s="39"/>
      <c r="Y12" s="39"/>
      <c r="AA12" s="750" t="s">
        <v>7</v>
      </c>
      <c r="AB12" s="751"/>
      <c r="AC12" s="751"/>
      <c r="AD12" s="751"/>
      <c r="AE12" s="751"/>
      <c r="AF12" s="751"/>
      <c r="AG12" s="751"/>
      <c r="AH12" s="751"/>
      <c r="AI12" s="751"/>
      <c r="AJ12" s="751"/>
      <c r="AK12" s="752"/>
      <c r="AL12" s="82"/>
      <c r="AM12" s="750" t="s">
        <v>7</v>
      </c>
      <c r="AN12" s="751"/>
      <c r="AO12" s="751"/>
      <c r="AP12" s="751"/>
      <c r="AQ12" s="751"/>
      <c r="AR12" s="751"/>
      <c r="AS12" s="751"/>
      <c r="AT12" s="751"/>
      <c r="AU12" s="751"/>
      <c r="AV12" s="751"/>
      <c r="AW12" s="752"/>
      <c r="AX12" s="19"/>
      <c r="AY12" s="5" t="s">
        <v>191</v>
      </c>
      <c r="BF12" s="5">
        <v>468</v>
      </c>
      <c r="BG12" s="35">
        <v>36</v>
      </c>
      <c r="BH12" s="5">
        <f>BG12*BF12</f>
        <v>16848</v>
      </c>
      <c r="BI12" s="5">
        <v>6</v>
      </c>
    </row>
    <row r="13" spans="1:61" ht="39.75" customHeight="1">
      <c r="A13" s="746"/>
      <c r="B13" s="747"/>
      <c r="C13" s="235" t="e">
        <f>'расчет по услугам'!#REF!</f>
        <v>#REF!</v>
      </c>
      <c r="D13" s="238" t="s">
        <v>192</v>
      </c>
      <c r="E13" s="753" t="e">
        <f>'расчет по услугам'!#REF!</f>
        <v>#REF!</v>
      </c>
      <c r="F13" s="753"/>
      <c r="G13" s="205">
        <v>48</v>
      </c>
      <c r="H13" s="278" t="e">
        <f>#REF!/G13</f>
        <v>#REF!</v>
      </c>
      <c r="I13" s="279"/>
      <c r="J13" s="252">
        <f>462977*1.302/1776.4/1</f>
        <v>339.33576559333483</v>
      </c>
      <c r="K13" s="280">
        <f t="shared" ref="K13:K16" si="0">IFERROR(H13*J13,0)</f>
        <v>0</v>
      </c>
      <c r="L13" s="281"/>
      <c r="M13" s="264"/>
      <c r="Q13" s="28" t="s">
        <v>136</v>
      </c>
      <c r="R13" s="760">
        <f>1/149*U13</f>
        <v>0.32214765100671139</v>
      </c>
      <c r="S13" s="761"/>
      <c r="T13" s="27">
        <f>R13*1776.4</f>
        <v>572.26308724832211</v>
      </c>
      <c r="U13" s="27">
        <v>48</v>
      </c>
      <c r="V13" s="87">
        <f>T13/U13</f>
        <v>11.922147651006711</v>
      </c>
      <c r="W13" s="84"/>
      <c r="X13" s="52">
        <f>462977*1.302/1776.4/1</f>
        <v>339.33576559333483</v>
      </c>
      <c r="Y13" s="85">
        <f t="shared" ref="Y13:Y16" si="1">IFERROR(V13*X13,0)</f>
        <v>4045.6111006711408</v>
      </c>
      <c r="AA13" s="88">
        <v>1</v>
      </c>
      <c r="AB13" s="28" t="s">
        <v>136</v>
      </c>
      <c r="AC13" s="760">
        <f>1/149*AF13</f>
        <v>0.67785234899328861</v>
      </c>
      <c r="AD13" s="761"/>
      <c r="AE13" s="27">
        <f>AC13*1776.4</f>
        <v>1204.136912751678</v>
      </c>
      <c r="AF13" s="27">
        <v>101</v>
      </c>
      <c r="AG13" s="83">
        <f>AE13/AF13</f>
        <v>11.922147651006712</v>
      </c>
      <c r="AH13" s="84"/>
      <c r="AI13" s="52">
        <f>462977*1.302/1776.4/1</f>
        <v>339.33576559333483</v>
      </c>
      <c r="AJ13" s="85">
        <f t="shared" ref="AJ13:AJ18" si="2">IFERROR(AG13*AI13,0)</f>
        <v>4045.6111006711412</v>
      </c>
      <c r="AK13" s="16"/>
      <c r="AL13" s="86"/>
      <c r="AM13" s="88">
        <v>1</v>
      </c>
      <c r="AN13" s="28" t="s">
        <v>139</v>
      </c>
      <c r="AO13" s="760">
        <v>9</v>
      </c>
      <c r="AP13" s="761"/>
      <c r="AQ13" s="27">
        <f t="shared" ref="AQ13" si="3">AO13*1776.4</f>
        <v>15987.6</v>
      </c>
      <c r="AR13" s="27">
        <v>149</v>
      </c>
      <c r="AS13" s="83">
        <f>AQ13/AR13</f>
        <v>107.29932885906041</v>
      </c>
      <c r="AT13" s="84"/>
      <c r="AU13" s="52">
        <f>2246239.55*1.302/1776.4/AO13</f>
        <v>182.92951375440964</v>
      </c>
      <c r="AV13" s="85">
        <f>IFERROR(AS13*AU13,0)</f>
        <v>19628.214054362415</v>
      </c>
      <c r="AW13" s="16"/>
      <c r="AX13" s="20">
        <v>1</v>
      </c>
      <c r="AY13" s="17">
        <f>462977*1.302</f>
        <v>602796.054</v>
      </c>
      <c r="AZ13" s="17">
        <f>AJ13*AF13</f>
        <v>408606.72116778529</v>
      </c>
      <c r="BA13" s="17">
        <f>2246239.55*1.302</f>
        <v>2924603.8940999997</v>
      </c>
      <c r="BB13" s="17">
        <f>AR13*AV13</f>
        <v>2924603.8940999997</v>
      </c>
      <c r="BG13" s="35"/>
    </row>
    <row r="14" spans="1:61" ht="47.25" hidden="1" customHeight="1" outlineLevel="1">
      <c r="A14" s="746"/>
      <c r="B14" s="747"/>
      <c r="C14" s="235"/>
      <c r="D14" s="238"/>
      <c r="E14" s="753"/>
      <c r="F14" s="753"/>
      <c r="G14" s="205">
        <f>G13</f>
        <v>48</v>
      </c>
      <c r="H14" s="278" t="e">
        <f>#REF!/G14</f>
        <v>#REF!</v>
      </c>
      <c r="I14" s="279"/>
      <c r="J14" s="252">
        <f>4941446*1.302/1776.4/12</f>
        <v>301.81653400135104</v>
      </c>
      <c r="K14" s="280">
        <f t="shared" si="0"/>
        <v>0</v>
      </c>
      <c r="L14" s="281"/>
      <c r="M14" s="265"/>
      <c r="Q14" s="28" t="s">
        <v>193</v>
      </c>
      <c r="R14" s="760">
        <f>12/149*U14</f>
        <v>3.8657718120805367</v>
      </c>
      <c r="S14" s="761"/>
      <c r="T14" s="27">
        <f t="shared" ref="T14:T18" si="4">R14*1776.4</f>
        <v>6867.1570469798653</v>
      </c>
      <c r="U14" s="27">
        <f>U13</f>
        <v>48</v>
      </c>
      <c r="V14" s="87">
        <f>T14/U14</f>
        <v>143.06577181208053</v>
      </c>
      <c r="W14" s="84"/>
      <c r="X14" s="52">
        <f>4941446*1.302/1776.4/12</f>
        <v>301.81653400135104</v>
      </c>
      <c r="Y14" s="89">
        <f t="shared" si="1"/>
        <v>43179.615382550335</v>
      </c>
      <c r="AA14" s="88">
        <v>2</v>
      </c>
      <c r="AB14" s="28" t="s">
        <v>193</v>
      </c>
      <c r="AC14" s="760">
        <f>12/149*AF14</f>
        <v>8.1342281879194633</v>
      </c>
      <c r="AD14" s="761"/>
      <c r="AE14" s="27">
        <f t="shared" ref="AE14:AE18" si="5">AC14*1776.4</f>
        <v>14449.642953020135</v>
      </c>
      <c r="AF14" s="27">
        <f>AF13</f>
        <v>101</v>
      </c>
      <c r="AG14" s="83">
        <f>AE14/AF14</f>
        <v>143.06577181208056</v>
      </c>
      <c r="AH14" s="84"/>
      <c r="AI14" s="52">
        <f>4941446*1.302/1776.4/12</f>
        <v>301.81653400135104</v>
      </c>
      <c r="AJ14" s="89">
        <f t="shared" si="2"/>
        <v>43179.615382550342</v>
      </c>
      <c r="AK14" s="40"/>
      <c r="AL14" s="90"/>
      <c r="AM14" s="88"/>
      <c r="AN14" s="28"/>
      <c r="AO14" s="760"/>
      <c r="AP14" s="761"/>
      <c r="AQ14" s="27"/>
      <c r="AR14" s="27"/>
      <c r="AS14" s="83"/>
      <c r="AT14" s="84"/>
      <c r="AU14" s="52"/>
      <c r="AV14" s="89"/>
      <c r="AW14" s="40"/>
      <c r="AX14" s="20">
        <v>12</v>
      </c>
      <c r="AY14" s="17">
        <f>4941446*1.302</f>
        <v>6433762.6919999998</v>
      </c>
      <c r="AZ14" s="17">
        <f t="shared" ref="AZ14:AZ18" si="6">AJ14*AF14</f>
        <v>4361141.1536375843</v>
      </c>
      <c r="BA14" s="17"/>
      <c r="BB14" s="17"/>
      <c r="BC14" s="763" t="s">
        <v>194</v>
      </c>
      <c r="BD14" s="24">
        <f>AY14/AF14</f>
        <v>63700.620712871285</v>
      </c>
      <c r="BE14" s="91">
        <f>BD14/AG14</f>
        <v>445.25409471486432</v>
      </c>
      <c r="BH14" s="5" t="s">
        <v>195</v>
      </c>
      <c r="BI14" s="5">
        <f>ROUND(BH12/BI12,0)</f>
        <v>2808</v>
      </c>
    </row>
    <row r="15" spans="1:61" ht="48" hidden="1" customHeight="1" outlineLevel="1">
      <c r="A15" s="746"/>
      <c r="B15" s="747"/>
      <c r="C15" s="235"/>
      <c r="D15" s="238"/>
      <c r="E15" s="753"/>
      <c r="F15" s="753"/>
      <c r="G15" s="205">
        <f t="shared" ref="G15:G18" si="7">G14</f>
        <v>48</v>
      </c>
      <c r="H15" s="278" t="e">
        <f>#REF!/G15</f>
        <v>#REF!</v>
      </c>
      <c r="I15" s="279"/>
      <c r="J15" s="252">
        <f>315780*1.302/1776.4/1.5</f>
        <v>154.29916685431209</v>
      </c>
      <c r="K15" s="280">
        <f t="shared" si="0"/>
        <v>0</v>
      </c>
      <c r="L15" s="281"/>
      <c r="M15" s="265"/>
      <c r="Q15" s="28" t="s">
        <v>137</v>
      </c>
      <c r="R15" s="760">
        <f>1.5/149*U15</f>
        <v>0.48322147651006708</v>
      </c>
      <c r="S15" s="761"/>
      <c r="T15" s="27">
        <f t="shared" si="4"/>
        <v>858.39463087248316</v>
      </c>
      <c r="U15" s="27">
        <f t="shared" ref="U15:U18" si="8">U14</f>
        <v>48</v>
      </c>
      <c r="V15" s="87">
        <f t="shared" ref="V15" si="9">T15/U15</f>
        <v>17.883221476510066</v>
      </c>
      <c r="W15" s="84"/>
      <c r="X15" s="52">
        <f>315780*1.302/1776.4/1.5</f>
        <v>154.29916685431209</v>
      </c>
      <c r="Y15" s="89">
        <f t="shared" si="1"/>
        <v>2759.3661744966439</v>
      </c>
      <c r="AA15" s="88">
        <v>3</v>
      </c>
      <c r="AB15" s="28" t="s">
        <v>137</v>
      </c>
      <c r="AC15" s="760">
        <f>1.5/149*AF15</f>
        <v>1.0167785234899329</v>
      </c>
      <c r="AD15" s="761"/>
      <c r="AE15" s="27">
        <f t="shared" si="5"/>
        <v>1806.2053691275169</v>
      </c>
      <c r="AF15" s="27">
        <f t="shared" ref="AF15:AF18" si="10">AF14</f>
        <v>101</v>
      </c>
      <c r="AG15" s="83">
        <f t="shared" ref="AG15:AG18" si="11">AE15/AF15</f>
        <v>17.883221476510069</v>
      </c>
      <c r="AH15" s="84"/>
      <c r="AI15" s="52">
        <f>315780*1.302/1776.4/1.5</f>
        <v>154.29916685431209</v>
      </c>
      <c r="AJ15" s="89">
        <f t="shared" si="2"/>
        <v>2759.3661744966448</v>
      </c>
      <c r="AK15" s="40"/>
      <c r="AL15" s="90"/>
      <c r="AM15" s="88"/>
      <c r="AN15" s="28"/>
      <c r="AO15" s="760"/>
      <c r="AP15" s="761"/>
      <c r="AQ15" s="27"/>
      <c r="AR15" s="27"/>
      <c r="AS15" s="83"/>
      <c r="AT15" s="84"/>
      <c r="AU15" s="52"/>
      <c r="AV15" s="89"/>
      <c r="AW15" s="40"/>
      <c r="AX15" s="20">
        <v>1.5</v>
      </c>
      <c r="AY15" s="17">
        <f>315780*1.302</f>
        <v>411145.56</v>
      </c>
      <c r="AZ15" s="17">
        <f t="shared" si="6"/>
        <v>278695.9836241611</v>
      </c>
      <c r="BA15" s="17"/>
      <c r="BB15" s="17"/>
      <c r="BC15" s="764"/>
      <c r="BD15" s="24">
        <f>AY15/AF15</f>
        <v>4070.7481188118813</v>
      </c>
      <c r="BE15" s="91">
        <f>BD15/AG15</f>
        <v>227.62946397319305</v>
      </c>
      <c r="BI15" s="5">
        <f>BI14*135</f>
        <v>379080</v>
      </c>
    </row>
    <row r="16" spans="1:61" ht="32.25" hidden="1" customHeight="1" outlineLevel="1">
      <c r="A16" s="746"/>
      <c r="B16" s="747"/>
      <c r="C16" s="235"/>
      <c r="D16" s="238"/>
      <c r="E16" s="753"/>
      <c r="F16" s="753"/>
      <c r="G16" s="205">
        <f t="shared" si="7"/>
        <v>48</v>
      </c>
      <c r="H16" s="278" t="e">
        <f>#REF!/G16</f>
        <v>#REF!</v>
      </c>
      <c r="I16" s="279"/>
      <c r="J16" s="252">
        <f>334020*1.302/1776.4/1</f>
        <v>244.81763116415223</v>
      </c>
      <c r="K16" s="280">
        <f t="shared" si="0"/>
        <v>0</v>
      </c>
      <c r="L16" s="281"/>
      <c r="M16" s="265"/>
      <c r="Q16" s="28" t="s">
        <v>138</v>
      </c>
      <c r="R16" s="760">
        <f>1/149*U16</f>
        <v>0.32214765100671139</v>
      </c>
      <c r="S16" s="761"/>
      <c r="T16" s="27">
        <f t="shared" si="4"/>
        <v>572.26308724832211</v>
      </c>
      <c r="U16" s="27">
        <f t="shared" si="8"/>
        <v>48</v>
      </c>
      <c r="V16" s="87">
        <f>T16/U16</f>
        <v>11.922147651006711</v>
      </c>
      <c r="W16" s="84"/>
      <c r="X16" s="52">
        <f>334020*1.302/1776.4/1</f>
        <v>244.81763116415223</v>
      </c>
      <c r="Y16" s="89">
        <f t="shared" si="1"/>
        <v>2918.7519463087247</v>
      </c>
      <c r="AA16" s="88">
        <v>4</v>
      </c>
      <c r="AB16" s="28" t="s">
        <v>138</v>
      </c>
      <c r="AC16" s="760">
        <f>1/149*AF16</f>
        <v>0.67785234899328861</v>
      </c>
      <c r="AD16" s="761"/>
      <c r="AE16" s="27">
        <f t="shared" si="5"/>
        <v>1204.136912751678</v>
      </c>
      <c r="AF16" s="27">
        <f t="shared" si="10"/>
        <v>101</v>
      </c>
      <c r="AG16" s="83">
        <f>AE16/AF16</f>
        <v>11.922147651006712</v>
      </c>
      <c r="AH16" s="84"/>
      <c r="AI16" s="52">
        <f>334020*1.302/1776.4/1</f>
        <v>244.81763116415223</v>
      </c>
      <c r="AJ16" s="89">
        <f t="shared" si="2"/>
        <v>2918.7519463087251</v>
      </c>
      <c r="AK16" s="40"/>
      <c r="AL16" s="90"/>
      <c r="AM16" s="88"/>
      <c r="AN16" s="28"/>
      <c r="AO16" s="62"/>
      <c r="AP16" s="63"/>
      <c r="AQ16" s="27"/>
      <c r="AR16" s="27"/>
      <c r="AS16" s="83"/>
      <c r="AT16" s="84"/>
      <c r="AU16" s="52"/>
      <c r="AV16" s="89"/>
      <c r="AW16" s="40"/>
      <c r="AX16" s="20">
        <v>1</v>
      </c>
      <c r="AY16" s="17">
        <f>334020*1.302</f>
        <v>434894.04000000004</v>
      </c>
      <c r="AZ16" s="17">
        <f t="shared" si="6"/>
        <v>294793.94657718122</v>
      </c>
      <c r="BA16" s="17"/>
      <c r="BB16" s="17"/>
      <c r="BC16" s="764"/>
      <c r="BD16" s="24"/>
      <c r="BE16" s="91"/>
    </row>
    <row r="17" spans="1:61" ht="41.25" hidden="1" customHeight="1" outlineLevel="1">
      <c r="A17" s="746"/>
      <c r="B17" s="747"/>
      <c r="C17" s="235"/>
      <c r="D17" s="238"/>
      <c r="E17" s="753"/>
      <c r="F17" s="753"/>
      <c r="G17" s="205">
        <f>G16</f>
        <v>48</v>
      </c>
      <c r="H17" s="278" t="e">
        <f>#REF!/G17</f>
        <v>#REF!</v>
      </c>
      <c r="I17" s="279"/>
      <c r="J17" s="252">
        <f>147744*1.302/1776.4/0.5</f>
        <v>216.57587029948209</v>
      </c>
      <c r="K17" s="280">
        <f>IFERROR(H17*J17,0)</f>
        <v>0</v>
      </c>
      <c r="L17" s="281"/>
      <c r="M17" s="265"/>
      <c r="Q17" s="28" t="s">
        <v>76</v>
      </c>
      <c r="R17" s="760">
        <f>0.5/149*U17</f>
        <v>0.16107382550335569</v>
      </c>
      <c r="S17" s="761"/>
      <c r="T17" s="27">
        <f t="shared" si="4"/>
        <v>286.13154362416105</v>
      </c>
      <c r="U17" s="27">
        <f>U16</f>
        <v>48</v>
      </c>
      <c r="V17" s="87">
        <f t="shared" ref="V17:V18" si="12">T17/U17</f>
        <v>5.9610738255033553</v>
      </c>
      <c r="W17" s="84"/>
      <c r="X17" s="52">
        <f>147744*1.302/1776.4/0.5</f>
        <v>216.57587029948209</v>
      </c>
      <c r="Y17" s="89">
        <f>IFERROR(V17*X17,0)</f>
        <v>1291.0247516778522</v>
      </c>
      <c r="AA17" s="88">
        <v>5</v>
      </c>
      <c r="AB17" s="28" t="s">
        <v>76</v>
      </c>
      <c r="AC17" s="760">
        <f>0.5/149*AF17</f>
        <v>0.33892617449664431</v>
      </c>
      <c r="AD17" s="761"/>
      <c r="AE17" s="27">
        <f t="shared" si="5"/>
        <v>602.06845637583899</v>
      </c>
      <c r="AF17" s="27">
        <f>AF16</f>
        <v>101</v>
      </c>
      <c r="AG17" s="83">
        <f t="shared" si="11"/>
        <v>5.9610738255033562</v>
      </c>
      <c r="AH17" s="84"/>
      <c r="AI17" s="52">
        <f>147744*1.302/1776.4/0.5</f>
        <v>216.57587029948209</v>
      </c>
      <c r="AJ17" s="89">
        <f>IFERROR(AG17*AI17,0)</f>
        <v>1291.0247516778525</v>
      </c>
      <c r="AK17" s="40"/>
      <c r="AL17" s="90"/>
      <c r="AM17" s="88"/>
      <c r="AN17" s="28"/>
      <c r="AO17" s="760"/>
      <c r="AP17" s="761"/>
      <c r="AQ17" s="27"/>
      <c r="AR17" s="27"/>
      <c r="AS17" s="83"/>
      <c r="AT17" s="84"/>
      <c r="AU17" s="52"/>
      <c r="AV17" s="89"/>
      <c r="AW17" s="40"/>
      <c r="AX17" s="20">
        <v>0.5</v>
      </c>
      <c r="AY17" s="17">
        <f>147744*1.302</f>
        <v>192362.68799999999</v>
      </c>
      <c r="AZ17" s="17">
        <f t="shared" si="6"/>
        <v>130393.49991946309</v>
      </c>
      <c r="BA17" s="17"/>
      <c r="BB17" s="17"/>
      <c r="BC17" s="764"/>
      <c r="BI17" s="5">
        <f>BI14*135</f>
        <v>379080</v>
      </c>
    </row>
    <row r="18" spans="1:61" ht="48" hidden="1" customHeight="1" outlineLevel="1">
      <c r="A18" s="746"/>
      <c r="B18" s="747"/>
      <c r="C18" s="235"/>
      <c r="D18" s="238"/>
      <c r="E18" s="753"/>
      <c r="F18" s="753"/>
      <c r="G18" s="205">
        <f t="shared" si="7"/>
        <v>48</v>
      </c>
      <c r="H18" s="278" t="e">
        <f>#REF!/G18</f>
        <v>#REF!</v>
      </c>
      <c r="I18" s="279"/>
      <c r="J18" s="252">
        <f>148200*1.302/1776.4/0.5</f>
        <v>217.24431434361628</v>
      </c>
      <c r="K18" s="280">
        <f t="shared" ref="K18" si="13">IFERROR(H18*J18,0)</f>
        <v>0</v>
      </c>
      <c r="L18" s="281"/>
      <c r="M18" s="265"/>
      <c r="Q18" s="28" t="s">
        <v>126</v>
      </c>
      <c r="R18" s="760">
        <f>0.5/149*U18</f>
        <v>0.16107382550335569</v>
      </c>
      <c r="S18" s="761"/>
      <c r="T18" s="27">
        <f t="shared" si="4"/>
        <v>286.13154362416105</v>
      </c>
      <c r="U18" s="27">
        <f t="shared" si="8"/>
        <v>48</v>
      </c>
      <c r="V18" s="87">
        <f t="shared" si="12"/>
        <v>5.9610738255033553</v>
      </c>
      <c r="W18" s="84"/>
      <c r="X18" s="52">
        <f>148200*1.302/1776.4/0.5</f>
        <v>217.24431434361628</v>
      </c>
      <c r="Y18" s="89">
        <f t="shared" ref="Y18" si="14">IFERROR(V18*X18,0)</f>
        <v>1295.0093959731541</v>
      </c>
      <c r="AA18" s="88">
        <v>6</v>
      </c>
      <c r="AB18" s="28" t="s">
        <v>126</v>
      </c>
      <c r="AC18" s="760">
        <f>0.5/149*AF18</f>
        <v>0.33892617449664431</v>
      </c>
      <c r="AD18" s="761"/>
      <c r="AE18" s="27">
        <f t="shared" si="5"/>
        <v>602.06845637583899</v>
      </c>
      <c r="AF18" s="27">
        <f t="shared" si="10"/>
        <v>101</v>
      </c>
      <c r="AG18" s="83">
        <f t="shared" si="11"/>
        <v>5.9610738255033562</v>
      </c>
      <c r="AH18" s="84"/>
      <c r="AI18" s="52">
        <f>148200*1.302/1776.4/0.5</f>
        <v>217.24431434361628</v>
      </c>
      <c r="AJ18" s="89">
        <f t="shared" si="2"/>
        <v>1295.0093959731544</v>
      </c>
      <c r="AK18" s="40"/>
      <c r="AL18" s="90"/>
      <c r="AM18" s="88"/>
      <c r="AN18" s="28"/>
      <c r="AO18" s="760"/>
      <c r="AP18" s="761"/>
      <c r="AQ18" s="27"/>
      <c r="AR18" s="27"/>
      <c r="AS18" s="83"/>
      <c r="AT18" s="84"/>
      <c r="AU18" s="52"/>
      <c r="AV18" s="89"/>
      <c r="AW18" s="40"/>
      <c r="AX18" s="20">
        <v>0.5</v>
      </c>
      <c r="AY18" s="17">
        <f>148200*1.302</f>
        <v>192956.4</v>
      </c>
      <c r="AZ18" s="17">
        <f t="shared" si="6"/>
        <v>130795.94899328859</v>
      </c>
      <c r="BA18" s="17"/>
      <c r="BB18" s="17"/>
      <c r="BC18" s="764"/>
    </row>
    <row r="19" spans="1:61" ht="15.75" hidden="1" customHeight="1" outlineLevel="1" thickBot="1">
      <c r="A19" s="746"/>
      <c r="B19" s="747"/>
      <c r="C19" s="768"/>
      <c r="D19" s="768"/>
      <c r="E19" s="768"/>
      <c r="F19" s="768"/>
      <c r="G19" s="768"/>
      <c r="H19" s="768"/>
      <c r="I19" s="768"/>
      <c r="J19" s="768"/>
      <c r="K19" s="247">
        <f>SUM(K13:K18)</f>
        <v>0</v>
      </c>
      <c r="L19" s="281"/>
      <c r="M19" s="266"/>
      <c r="Q19" s="68"/>
      <c r="R19" s="68"/>
      <c r="S19" s="68"/>
      <c r="T19" s="68"/>
      <c r="U19" s="68"/>
      <c r="V19" s="68"/>
      <c r="W19" s="68"/>
      <c r="X19" s="68"/>
      <c r="Y19" s="92">
        <f>SUM(Y13:Y18)</f>
        <v>55489.378751677854</v>
      </c>
      <c r="AA19" s="769" t="s">
        <v>42</v>
      </c>
      <c r="AB19" s="770"/>
      <c r="AC19" s="770"/>
      <c r="AD19" s="770"/>
      <c r="AE19" s="770"/>
      <c r="AF19" s="770"/>
      <c r="AG19" s="770"/>
      <c r="AH19" s="770"/>
      <c r="AI19" s="771"/>
      <c r="AJ19" s="92">
        <f>SUM(AJ13:AJ18)</f>
        <v>55489.378751677861</v>
      </c>
      <c r="AK19" s="40"/>
      <c r="AL19" s="93"/>
      <c r="AM19" s="769" t="s">
        <v>42</v>
      </c>
      <c r="AN19" s="770"/>
      <c r="AO19" s="770"/>
      <c r="AP19" s="770"/>
      <c r="AQ19" s="770"/>
      <c r="AR19" s="770"/>
      <c r="AS19" s="770"/>
      <c r="AT19" s="770"/>
      <c r="AU19" s="771"/>
      <c r="AV19" s="92">
        <f>SUM(AV13:AV18)</f>
        <v>19628.214054362415</v>
      </c>
      <c r="AW19" s="40"/>
      <c r="AX19" s="94"/>
      <c r="AY19" s="95">
        <f>(AY13+AY14+AY15+AY17+AY18+AY16)</f>
        <v>8267917.4339999994</v>
      </c>
      <c r="AZ19" s="17">
        <f>(AZ13+AZ14+AZ15+AZ17+AZ18+AZ16)</f>
        <v>5604427.2539194636</v>
      </c>
      <c r="BA19" s="95">
        <f>SUM(BA13:BA18)</f>
        <v>2924603.8940999997</v>
      </c>
      <c r="BB19" s="17"/>
      <c r="BC19" s="765"/>
      <c r="BI19" s="5" t="e">
        <f>#REF!*135</f>
        <v>#REF!</v>
      </c>
    </row>
    <row r="20" spans="1:61" s="100" customFormat="1" ht="15" hidden="1" customHeight="1" outlineLevel="1">
      <c r="A20" s="746"/>
      <c r="B20" s="747"/>
      <c r="C20" s="319"/>
      <c r="D20" s="319"/>
      <c r="E20" s="319"/>
      <c r="F20" s="319"/>
      <c r="G20" s="319"/>
      <c r="H20" s="319"/>
      <c r="I20" s="319"/>
      <c r="J20" s="319"/>
      <c r="K20" s="283"/>
      <c r="L20" s="284"/>
      <c r="M20" s="99"/>
      <c r="P20" s="101"/>
      <c r="Q20" s="96"/>
      <c r="R20" s="96"/>
      <c r="S20" s="96"/>
      <c r="T20" s="96"/>
      <c r="U20" s="96"/>
      <c r="V20" s="96"/>
      <c r="W20" s="96"/>
      <c r="X20" s="96"/>
      <c r="Y20" s="97"/>
      <c r="AA20" s="96"/>
      <c r="AB20" s="96"/>
      <c r="AC20" s="96"/>
      <c r="AD20" s="96"/>
      <c r="AE20" s="96"/>
      <c r="AF20" s="96"/>
      <c r="AG20" s="96"/>
      <c r="AH20" s="96"/>
      <c r="AI20" s="96"/>
      <c r="AJ20" s="97"/>
      <c r="AK20" s="98"/>
      <c r="AL20" s="99"/>
      <c r="AM20" s="96"/>
      <c r="AN20" s="96"/>
      <c r="AO20" s="96"/>
      <c r="AP20" s="96"/>
      <c r="AQ20" s="96"/>
      <c r="AR20" s="96"/>
      <c r="AS20" s="96"/>
      <c r="AT20" s="96"/>
      <c r="AU20" s="96"/>
      <c r="AV20" s="97"/>
      <c r="AW20" s="98"/>
      <c r="AX20" s="102"/>
      <c r="AY20" s="103">
        <v>8267917.9000000004</v>
      </c>
      <c r="AZ20" s="103">
        <f>AY19-AY20</f>
        <v>-0.46600000094622374</v>
      </c>
      <c r="BA20" s="103">
        <v>2032138.72</v>
      </c>
      <c r="BB20" s="103">
        <f>BA19-BA20</f>
        <v>892465.17409999971</v>
      </c>
      <c r="BC20" s="104"/>
    </row>
    <row r="21" spans="1:61" s="39" customFormat="1" ht="33.75" customHeight="1" outlineLevel="1">
      <c r="A21" s="746"/>
      <c r="B21" s="747"/>
      <c r="C21" s="772" t="s">
        <v>196</v>
      </c>
      <c r="D21" s="773"/>
      <c r="E21" s="773"/>
      <c r="F21" s="773"/>
      <c r="G21" s="285"/>
      <c r="H21" s="285"/>
      <c r="I21" s="285"/>
      <c r="J21" s="285"/>
      <c r="K21" s="283"/>
      <c r="L21" s="286"/>
      <c r="M21" s="104"/>
      <c r="P21" s="68"/>
      <c r="Q21" s="105"/>
      <c r="R21" s="105"/>
      <c r="S21" s="105"/>
      <c r="T21" s="105"/>
      <c r="U21" s="105"/>
      <c r="V21" s="105"/>
      <c r="W21" s="105"/>
      <c r="X21" s="105"/>
      <c r="Y21" s="97"/>
      <c r="AA21" s="105"/>
      <c r="AB21" s="105"/>
      <c r="AC21" s="105"/>
      <c r="AD21" s="105"/>
      <c r="AE21" s="105"/>
      <c r="AF21" s="105"/>
      <c r="AG21" s="105"/>
      <c r="AH21" s="105"/>
      <c r="AI21" s="105"/>
      <c r="AJ21" s="97"/>
      <c r="AK21" s="106"/>
      <c r="AL21" s="104"/>
      <c r="AM21" s="105"/>
      <c r="AN21" s="105"/>
      <c r="AO21" s="105"/>
      <c r="AP21" s="105"/>
      <c r="AQ21" s="105"/>
      <c r="AR21" s="105"/>
      <c r="AS21" s="105"/>
      <c r="AT21" s="105"/>
      <c r="AU21" s="105"/>
      <c r="AV21" s="97"/>
      <c r="AW21" s="106"/>
      <c r="AX21" s="104"/>
      <c r="AY21" s="107">
        <f>AZ19-AY19</f>
        <v>-2663490.1800805358</v>
      </c>
      <c r="AZ21" s="107"/>
      <c r="BA21" s="107"/>
      <c r="BB21" s="107"/>
    </row>
    <row r="22" spans="1:61" s="13" customFormat="1" ht="68.25" hidden="1" customHeight="1">
      <c r="A22" s="746"/>
      <c r="B22" s="747"/>
      <c r="C22" s="288" t="s">
        <v>3</v>
      </c>
      <c r="D22" s="288"/>
      <c r="E22" s="774"/>
      <c r="F22" s="774"/>
      <c r="G22" s="288" t="s">
        <v>2</v>
      </c>
      <c r="H22" s="290" t="s">
        <v>58</v>
      </c>
      <c r="I22" s="290" t="s">
        <v>73</v>
      </c>
      <c r="J22" s="290" t="s">
        <v>74</v>
      </c>
      <c r="K22" s="290" t="s">
        <v>5</v>
      </c>
      <c r="L22" s="290" t="s">
        <v>0</v>
      </c>
      <c r="M22" s="267"/>
      <c r="P22" s="109"/>
      <c r="Q22" s="108" t="s">
        <v>3</v>
      </c>
      <c r="R22" s="775"/>
      <c r="S22" s="776"/>
      <c r="T22" s="108" t="s">
        <v>63</v>
      </c>
      <c r="U22" s="108" t="s">
        <v>2</v>
      </c>
      <c r="V22" s="74" t="s">
        <v>58</v>
      </c>
      <c r="W22" s="74" t="s">
        <v>73</v>
      </c>
      <c r="X22" s="74" t="s">
        <v>74</v>
      </c>
      <c r="Y22" s="74" t="s">
        <v>5</v>
      </c>
      <c r="Z22" s="110"/>
      <c r="AA22" s="108" t="s">
        <v>1</v>
      </c>
      <c r="AB22" s="108" t="s">
        <v>3</v>
      </c>
      <c r="AC22" s="775"/>
      <c r="AD22" s="776"/>
      <c r="AE22" s="108" t="s">
        <v>63</v>
      </c>
      <c r="AF22" s="108" t="s">
        <v>2</v>
      </c>
      <c r="AG22" s="74" t="s">
        <v>58</v>
      </c>
      <c r="AH22" s="74" t="s">
        <v>73</v>
      </c>
      <c r="AI22" s="74" t="s">
        <v>74</v>
      </c>
      <c r="AJ22" s="74" t="s">
        <v>5</v>
      </c>
      <c r="AK22" s="74" t="s">
        <v>0</v>
      </c>
      <c r="AL22" s="75"/>
      <c r="AM22" s="108" t="s">
        <v>1</v>
      </c>
      <c r="AN22" s="108" t="s">
        <v>3</v>
      </c>
      <c r="AO22" s="775"/>
      <c r="AP22" s="776"/>
      <c r="AQ22" s="108" t="s">
        <v>63</v>
      </c>
      <c r="AR22" s="108" t="s">
        <v>2</v>
      </c>
      <c r="AS22" s="74" t="s">
        <v>58</v>
      </c>
      <c r="AT22" s="74" t="s">
        <v>73</v>
      </c>
      <c r="AU22" s="74" t="s">
        <v>74</v>
      </c>
      <c r="AV22" s="74" t="s">
        <v>5</v>
      </c>
      <c r="AW22" s="74" t="s">
        <v>0</v>
      </c>
      <c r="AX22" s="76"/>
      <c r="AY22" s="111">
        <v>7190581.7300000004</v>
      </c>
      <c r="AZ22" s="112">
        <f>AY22-AY19</f>
        <v>-1077335.703999999</v>
      </c>
      <c r="BA22" s="112"/>
      <c r="BB22" s="112"/>
    </row>
    <row r="23" spans="1:61" ht="15" hidden="1" customHeight="1">
      <c r="A23" s="746"/>
      <c r="B23" s="747"/>
      <c r="C23" s="290">
        <v>2</v>
      </c>
      <c r="D23" s="290"/>
      <c r="E23" s="766"/>
      <c r="F23" s="766"/>
      <c r="G23" s="290">
        <v>4</v>
      </c>
      <c r="H23" s="290" t="s">
        <v>77</v>
      </c>
      <c r="I23" s="290">
        <v>6</v>
      </c>
      <c r="J23" s="290">
        <v>7</v>
      </c>
      <c r="K23" s="290" t="s">
        <v>60</v>
      </c>
      <c r="L23" s="290">
        <v>9</v>
      </c>
      <c r="M23" s="267"/>
      <c r="Q23" s="74">
        <v>2</v>
      </c>
      <c r="R23" s="758"/>
      <c r="S23" s="759"/>
      <c r="T23" s="74">
        <v>3</v>
      </c>
      <c r="U23" s="74">
        <v>4</v>
      </c>
      <c r="V23" s="74" t="s">
        <v>77</v>
      </c>
      <c r="W23" s="74">
        <v>6</v>
      </c>
      <c r="X23" s="74">
        <v>7</v>
      </c>
      <c r="Y23" s="74" t="s">
        <v>60</v>
      </c>
      <c r="AA23" s="74">
        <v>1</v>
      </c>
      <c r="AB23" s="74">
        <v>2</v>
      </c>
      <c r="AC23" s="758"/>
      <c r="AD23" s="759"/>
      <c r="AE23" s="74">
        <v>3</v>
      </c>
      <c r="AF23" s="74">
        <v>4</v>
      </c>
      <c r="AG23" s="74" t="s">
        <v>77</v>
      </c>
      <c r="AH23" s="74">
        <v>6</v>
      </c>
      <c r="AI23" s="74">
        <v>7</v>
      </c>
      <c r="AJ23" s="74" t="s">
        <v>60</v>
      </c>
      <c r="AK23" s="74">
        <v>9</v>
      </c>
      <c r="AL23" s="75"/>
      <c r="AM23" s="74">
        <v>1</v>
      </c>
      <c r="AN23" s="74">
        <v>2</v>
      </c>
      <c r="AO23" s="758"/>
      <c r="AP23" s="759"/>
      <c r="AQ23" s="74">
        <v>3</v>
      </c>
      <c r="AR23" s="74">
        <v>4</v>
      </c>
      <c r="AS23" s="74" t="s">
        <v>77</v>
      </c>
      <c r="AT23" s="74">
        <v>6</v>
      </c>
      <c r="AU23" s="74">
        <v>7</v>
      </c>
      <c r="AV23" s="74" t="s">
        <v>60</v>
      </c>
      <c r="AW23" s="74">
        <v>9</v>
      </c>
      <c r="AX23" s="76"/>
    </row>
    <row r="24" spans="1:61" ht="15" hidden="1" customHeight="1">
      <c r="A24" s="746"/>
      <c r="B24" s="747"/>
      <c r="C24" s="767"/>
      <c r="D24" s="767"/>
      <c r="E24" s="767"/>
      <c r="F24" s="767"/>
      <c r="G24" s="767"/>
      <c r="H24" s="767"/>
      <c r="I24" s="767"/>
      <c r="J24" s="767"/>
      <c r="K24" s="767"/>
      <c r="L24" s="767"/>
      <c r="M24" s="82"/>
      <c r="Q24" s="68"/>
      <c r="R24" s="68"/>
      <c r="S24" s="68"/>
      <c r="T24" s="68"/>
      <c r="U24" s="68"/>
      <c r="V24" s="68"/>
      <c r="W24" s="68"/>
      <c r="X24" s="68"/>
      <c r="Y24" s="68"/>
      <c r="AA24" s="751" t="s">
        <v>6</v>
      </c>
      <c r="AB24" s="751"/>
      <c r="AC24" s="751"/>
      <c r="AD24" s="751"/>
      <c r="AE24" s="751"/>
      <c r="AF24" s="751"/>
      <c r="AG24" s="751"/>
      <c r="AH24" s="751"/>
      <c r="AI24" s="751"/>
      <c r="AJ24" s="751"/>
      <c r="AK24" s="752"/>
      <c r="AL24" s="82"/>
      <c r="AM24" s="751" t="s">
        <v>6</v>
      </c>
      <c r="AN24" s="751"/>
      <c r="AO24" s="751"/>
      <c r="AP24" s="751"/>
      <c r="AQ24" s="751"/>
      <c r="AR24" s="751"/>
      <c r="AS24" s="751"/>
      <c r="AT24" s="751"/>
      <c r="AU24" s="751"/>
      <c r="AV24" s="751"/>
      <c r="AW24" s="752"/>
      <c r="AX24" s="19"/>
      <c r="BA24" s="113" t="s">
        <v>197</v>
      </c>
    </row>
    <row r="25" spans="1:61" ht="15" hidden="1" customHeight="1" outlineLevel="2">
      <c r="A25" s="746"/>
      <c r="B25" s="747"/>
      <c r="C25" s="235" t="e">
        <f>'расчет по услугам'!#REF!</f>
        <v>#REF!</v>
      </c>
      <c r="D25" s="238" t="s">
        <v>284</v>
      </c>
      <c r="E25" s="780" t="e">
        <f>'расчет по услугам'!#REF!</f>
        <v>#REF!</v>
      </c>
      <c r="F25" s="781"/>
      <c r="G25" s="249">
        <f>G14</f>
        <v>48</v>
      </c>
      <c r="H25" s="291" t="e">
        <f>#REF!/G25</f>
        <v>#REF!</v>
      </c>
      <c r="I25" s="249">
        <v>1</v>
      </c>
      <c r="J25" s="252">
        <v>200</v>
      </c>
      <c r="K25" s="278">
        <f t="shared" ref="K25:K45" si="15">IFERROR(H25*J25/I25,0)</f>
        <v>0</v>
      </c>
      <c r="L25" s="782"/>
      <c r="M25" s="268"/>
      <c r="Q25" s="28" t="s">
        <v>141</v>
      </c>
      <c r="R25" s="760" t="s">
        <v>142</v>
      </c>
      <c r="S25" s="761"/>
      <c r="T25" s="116">
        <f>12/149*U25</f>
        <v>3.8657718120805367</v>
      </c>
      <c r="U25" s="27">
        <f>U14</f>
        <v>48</v>
      </c>
      <c r="V25" s="87">
        <f>T25/U25</f>
        <v>8.0536912751677847E-2</v>
      </c>
      <c r="W25" s="77">
        <v>1</v>
      </c>
      <c r="X25" s="52">
        <v>200</v>
      </c>
      <c r="Y25" s="83">
        <f t="shared" ref="Y25:Y45" si="16">IFERROR(V25*X25/W25,0)</f>
        <v>16.107382550335569</v>
      </c>
      <c r="AA25" s="88">
        <v>1</v>
      </c>
      <c r="AB25" s="28" t="s">
        <v>141</v>
      </c>
      <c r="AC25" s="760" t="s">
        <v>142</v>
      </c>
      <c r="AD25" s="761"/>
      <c r="AE25" s="116">
        <f>12/149*AF25</f>
        <v>8.1342281879194633</v>
      </c>
      <c r="AF25" s="27">
        <f>AF14</f>
        <v>101</v>
      </c>
      <c r="AG25" s="114">
        <f>AE25/AF25</f>
        <v>8.0536912751677861E-2</v>
      </c>
      <c r="AH25" s="77">
        <v>1</v>
      </c>
      <c r="AI25" s="52">
        <v>200</v>
      </c>
      <c r="AJ25" s="83">
        <f t="shared" ref="AJ25:AJ45" si="17">IFERROR(AG25*AI25/AH25,0)</f>
        <v>16.107382550335572</v>
      </c>
      <c r="AK25" s="777"/>
      <c r="AL25" s="115"/>
      <c r="AM25" s="88">
        <v>1</v>
      </c>
      <c r="AN25" s="28" t="s">
        <v>153</v>
      </c>
      <c r="AO25" s="760" t="s">
        <v>142</v>
      </c>
      <c r="AP25" s="761"/>
      <c r="AQ25" s="117">
        <v>25</v>
      </c>
      <c r="AR25" s="27">
        <v>149</v>
      </c>
      <c r="AS25" s="114">
        <f>AQ25/AR25</f>
        <v>0.16778523489932887</v>
      </c>
      <c r="AT25" s="77">
        <v>1</v>
      </c>
      <c r="AU25" s="52">
        <v>120</v>
      </c>
      <c r="AV25" s="83">
        <f t="shared" ref="AV25:AV42" si="18">IFERROR(AS25*AU25/AT25,0)</f>
        <v>20.134228187919465</v>
      </c>
      <c r="AW25" s="777"/>
      <c r="AX25" s="21"/>
      <c r="AY25" s="5">
        <f t="shared" ref="AY25:AY50" si="19">AJ25*AF25</f>
        <v>1626.8456375838928</v>
      </c>
      <c r="BA25" s="113">
        <f>AU25*AQ25</f>
        <v>3000</v>
      </c>
      <c r="BB25" s="5">
        <f>AV25*AR25</f>
        <v>3000.0000000000005</v>
      </c>
    </row>
    <row r="26" spans="1:61" ht="15" customHeight="1" outlineLevel="2">
      <c r="A26" s="746"/>
      <c r="B26" s="747"/>
      <c r="C26" s="235" t="e">
        <f>'расчет по услугам'!#REF!</f>
        <v>#REF!</v>
      </c>
      <c r="D26" s="238" t="e">
        <f>'расчет по услугам'!#REF!</f>
        <v>#REF!</v>
      </c>
      <c r="E26" s="780" t="e">
        <f>'расчет по услугам'!#REF!</f>
        <v>#REF!</v>
      </c>
      <c r="F26" s="781"/>
      <c r="G26" s="249">
        <f>G14</f>
        <v>48</v>
      </c>
      <c r="H26" s="291" t="e">
        <f>#REF!/G26</f>
        <v>#REF!</v>
      </c>
      <c r="I26" s="249">
        <v>1</v>
      </c>
      <c r="J26" s="252">
        <v>45</v>
      </c>
      <c r="K26" s="278">
        <f t="shared" si="15"/>
        <v>0</v>
      </c>
      <c r="L26" s="782"/>
      <c r="M26" s="269"/>
      <c r="Q26" s="28" t="s">
        <v>143</v>
      </c>
      <c r="R26" s="760" t="s">
        <v>142</v>
      </c>
      <c r="S26" s="761"/>
      <c r="T26" s="116">
        <f>50/149*U26</f>
        <v>16.107382550335572</v>
      </c>
      <c r="U26" s="27">
        <f>U14</f>
        <v>48</v>
      </c>
      <c r="V26" s="87">
        <f t="shared" ref="V26:V45" si="20">T26/U26</f>
        <v>0.33557046979865773</v>
      </c>
      <c r="W26" s="77">
        <v>1</v>
      </c>
      <c r="X26" s="52">
        <v>45</v>
      </c>
      <c r="Y26" s="83">
        <f t="shared" si="16"/>
        <v>15.100671140939598</v>
      </c>
      <c r="AA26" s="88">
        <v>2</v>
      </c>
      <c r="AB26" s="28" t="s">
        <v>143</v>
      </c>
      <c r="AC26" s="760" t="s">
        <v>142</v>
      </c>
      <c r="AD26" s="761"/>
      <c r="AE26" s="116">
        <f>50/149*AF26</f>
        <v>33.892617449664428</v>
      </c>
      <c r="AF26" s="27">
        <f>AF14</f>
        <v>101</v>
      </c>
      <c r="AG26" s="114">
        <f t="shared" ref="AG26:AG45" si="21">AE26/AF26</f>
        <v>0.33557046979865768</v>
      </c>
      <c r="AH26" s="77">
        <v>1</v>
      </c>
      <c r="AI26" s="52">
        <v>45</v>
      </c>
      <c r="AJ26" s="83">
        <f t="shared" si="17"/>
        <v>15.100671140939596</v>
      </c>
      <c r="AK26" s="778"/>
      <c r="AL26" s="118"/>
      <c r="AM26" s="88">
        <v>2</v>
      </c>
      <c r="AN26" s="28" t="s">
        <v>154</v>
      </c>
      <c r="AO26" s="760" t="s">
        <v>142</v>
      </c>
      <c r="AP26" s="761"/>
      <c r="AQ26" s="116">
        <v>25</v>
      </c>
      <c r="AR26" s="27">
        <f>AR25</f>
        <v>149</v>
      </c>
      <c r="AS26" s="114">
        <f t="shared" ref="AS26:AS30" si="22">AQ26/AR26</f>
        <v>0.16778523489932887</v>
      </c>
      <c r="AT26" s="77">
        <v>1</v>
      </c>
      <c r="AU26" s="52">
        <v>120</v>
      </c>
      <c r="AV26" s="83">
        <f t="shared" si="18"/>
        <v>20.134228187919465</v>
      </c>
      <c r="AW26" s="778"/>
      <c r="AX26" s="21"/>
      <c r="AY26" s="5">
        <f t="shared" si="19"/>
        <v>1525.1677852348992</v>
      </c>
      <c r="BA26" s="113">
        <f t="shared" ref="BA26:BB50" si="23">AU26*AQ26</f>
        <v>3000</v>
      </c>
      <c r="BB26" s="5">
        <f t="shared" si="23"/>
        <v>3000.0000000000005</v>
      </c>
    </row>
    <row r="27" spans="1:61" ht="15" customHeight="1" outlineLevel="2">
      <c r="A27" s="746"/>
      <c r="B27" s="747"/>
      <c r="C27" s="235" t="e">
        <f>'расчет по услугам'!#REF!</f>
        <v>#REF!</v>
      </c>
      <c r="D27" s="238" t="e">
        <f>'расчет по услугам'!#REF!</f>
        <v>#REF!</v>
      </c>
      <c r="E27" s="780" t="e">
        <f>'расчет по услугам'!#REF!</f>
        <v>#REF!</v>
      </c>
      <c r="F27" s="781"/>
      <c r="G27" s="249">
        <f>G14</f>
        <v>48</v>
      </c>
      <c r="H27" s="291" t="e">
        <f>#REF!/G27</f>
        <v>#REF!</v>
      </c>
      <c r="I27" s="249">
        <v>1</v>
      </c>
      <c r="J27" s="252">
        <v>700</v>
      </c>
      <c r="K27" s="278">
        <f t="shared" si="15"/>
        <v>0</v>
      </c>
      <c r="L27" s="782"/>
      <c r="M27" s="269"/>
      <c r="Q27" s="28" t="s">
        <v>198</v>
      </c>
      <c r="R27" s="760" t="s">
        <v>142</v>
      </c>
      <c r="S27" s="761"/>
      <c r="T27" s="116">
        <f>6/149*U27</f>
        <v>1.9328859060402683</v>
      </c>
      <c r="U27" s="27">
        <f>U14</f>
        <v>48</v>
      </c>
      <c r="V27" s="87">
        <f t="shared" si="20"/>
        <v>4.0268456375838924E-2</v>
      </c>
      <c r="W27" s="77">
        <v>1</v>
      </c>
      <c r="X27" s="52">
        <v>700</v>
      </c>
      <c r="Y27" s="83">
        <f t="shared" si="16"/>
        <v>28.187919463087248</v>
      </c>
      <c r="AA27" s="88">
        <v>3</v>
      </c>
      <c r="AB27" s="28" t="s">
        <v>198</v>
      </c>
      <c r="AC27" s="760" t="s">
        <v>142</v>
      </c>
      <c r="AD27" s="761"/>
      <c r="AE27" s="116">
        <f>6/149*AF27</f>
        <v>4.0671140939597317</v>
      </c>
      <c r="AF27" s="27">
        <f>AF14</f>
        <v>101</v>
      </c>
      <c r="AG27" s="114">
        <f t="shared" si="21"/>
        <v>4.0268456375838931E-2</v>
      </c>
      <c r="AH27" s="77">
        <v>1</v>
      </c>
      <c r="AI27" s="52">
        <v>700</v>
      </c>
      <c r="AJ27" s="83">
        <f t="shared" si="17"/>
        <v>28.187919463087251</v>
      </c>
      <c r="AK27" s="778"/>
      <c r="AL27" s="118"/>
      <c r="AM27" s="88">
        <v>3</v>
      </c>
      <c r="AN27" s="28" t="s">
        <v>155</v>
      </c>
      <c r="AO27" s="760" t="s">
        <v>142</v>
      </c>
      <c r="AP27" s="761"/>
      <c r="AQ27" s="116">
        <v>25</v>
      </c>
      <c r="AR27" s="27">
        <f t="shared" ref="AR27:AR30" si="24">AR26</f>
        <v>149</v>
      </c>
      <c r="AS27" s="114">
        <f t="shared" si="22"/>
        <v>0.16778523489932887</v>
      </c>
      <c r="AT27" s="77">
        <v>1</v>
      </c>
      <c r="AU27" s="52">
        <v>100</v>
      </c>
      <c r="AV27" s="83">
        <f t="shared" si="18"/>
        <v>16.778523489932887</v>
      </c>
      <c r="AW27" s="778"/>
      <c r="AX27" s="21"/>
      <c r="AY27" s="5">
        <f t="shared" si="19"/>
        <v>2846.9798657718125</v>
      </c>
      <c r="BA27" s="113">
        <f t="shared" si="23"/>
        <v>2500</v>
      </c>
      <c r="BB27" s="5">
        <f t="shared" si="23"/>
        <v>2500</v>
      </c>
    </row>
    <row r="28" spans="1:61" ht="15" customHeight="1" outlineLevel="2">
      <c r="A28" s="746"/>
      <c r="B28" s="747"/>
      <c r="C28" s="235" t="e">
        <f>'расчет по услугам'!#REF!</f>
        <v>#REF!</v>
      </c>
      <c r="D28" s="238" t="e">
        <f>'расчет по услугам'!#REF!</f>
        <v>#REF!</v>
      </c>
      <c r="E28" s="780" t="e">
        <f>'расчет по услугам'!#REF!</f>
        <v>#REF!</v>
      </c>
      <c r="F28" s="781"/>
      <c r="G28" s="249">
        <f>G14</f>
        <v>48</v>
      </c>
      <c r="H28" s="291" t="e">
        <f>#REF!/G28</f>
        <v>#REF!</v>
      </c>
      <c r="I28" s="249">
        <v>1</v>
      </c>
      <c r="J28" s="252">
        <v>500</v>
      </c>
      <c r="K28" s="278">
        <f t="shared" si="15"/>
        <v>0</v>
      </c>
      <c r="L28" s="782"/>
      <c r="M28" s="269"/>
      <c r="Q28" s="28" t="s">
        <v>199</v>
      </c>
      <c r="R28" s="760" t="s">
        <v>142</v>
      </c>
      <c r="S28" s="761"/>
      <c r="T28" s="116">
        <f>7/149*U28</f>
        <v>2.2550335570469802</v>
      </c>
      <c r="U28" s="27">
        <f>U14</f>
        <v>48</v>
      </c>
      <c r="V28" s="87">
        <f t="shared" si="20"/>
        <v>4.6979865771812089E-2</v>
      </c>
      <c r="W28" s="77">
        <v>1</v>
      </c>
      <c r="X28" s="52">
        <v>500</v>
      </c>
      <c r="Y28" s="83">
        <f t="shared" si="16"/>
        <v>23.489932885906043</v>
      </c>
      <c r="AA28" s="88">
        <v>4</v>
      </c>
      <c r="AB28" s="28" t="s">
        <v>199</v>
      </c>
      <c r="AC28" s="760" t="s">
        <v>142</v>
      </c>
      <c r="AD28" s="761"/>
      <c r="AE28" s="116">
        <f>7/149*AF28</f>
        <v>4.7449664429530207</v>
      </c>
      <c r="AF28" s="27">
        <f>AF14</f>
        <v>101</v>
      </c>
      <c r="AG28" s="114">
        <f t="shared" si="21"/>
        <v>4.6979865771812089E-2</v>
      </c>
      <c r="AH28" s="77">
        <v>1</v>
      </c>
      <c r="AI28" s="52">
        <v>500</v>
      </c>
      <c r="AJ28" s="83">
        <f t="shared" si="17"/>
        <v>23.489932885906043</v>
      </c>
      <c r="AK28" s="778"/>
      <c r="AL28" s="118"/>
      <c r="AM28" s="88">
        <v>4</v>
      </c>
      <c r="AN28" s="28" t="s">
        <v>156</v>
      </c>
      <c r="AO28" s="760" t="s">
        <v>142</v>
      </c>
      <c r="AP28" s="761"/>
      <c r="AQ28" s="116">
        <v>2</v>
      </c>
      <c r="AR28" s="27">
        <f t="shared" si="24"/>
        <v>149</v>
      </c>
      <c r="AS28" s="114">
        <f t="shared" si="22"/>
        <v>1.3422818791946308E-2</v>
      </c>
      <c r="AT28" s="77">
        <v>1</v>
      </c>
      <c r="AU28" s="52">
        <v>3000</v>
      </c>
      <c r="AV28" s="83">
        <f t="shared" si="18"/>
        <v>40.268456375838923</v>
      </c>
      <c r="AW28" s="778"/>
      <c r="AX28" s="21"/>
      <c r="AY28" s="5">
        <f t="shared" si="19"/>
        <v>2372.4832214765102</v>
      </c>
      <c r="BA28" s="113">
        <f t="shared" si="23"/>
        <v>6000</v>
      </c>
      <c r="BB28" s="5">
        <f t="shared" si="23"/>
        <v>6000</v>
      </c>
    </row>
    <row r="29" spans="1:61" ht="15" customHeight="1" outlineLevel="2">
      <c r="A29" s="746"/>
      <c r="B29" s="747"/>
      <c r="C29" s="235" t="e">
        <f>'расчет по услугам'!#REF!</f>
        <v>#REF!</v>
      </c>
      <c r="D29" s="238" t="e">
        <f>'расчет по услугам'!#REF!</f>
        <v>#REF!</v>
      </c>
      <c r="E29" s="780" t="e">
        <f>'расчет по услугам'!#REF!</f>
        <v>#REF!</v>
      </c>
      <c r="F29" s="781"/>
      <c r="G29" s="249">
        <f>G14</f>
        <v>48</v>
      </c>
      <c r="H29" s="291" t="e">
        <f>#REF!/G29</f>
        <v>#REF!</v>
      </c>
      <c r="I29" s="249">
        <v>1</v>
      </c>
      <c r="J29" s="252">
        <v>140</v>
      </c>
      <c r="K29" s="278">
        <f t="shared" si="15"/>
        <v>0</v>
      </c>
      <c r="L29" s="782"/>
      <c r="M29" s="269"/>
      <c r="Q29" s="28" t="s">
        <v>144</v>
      </c>
      <c r="R29" s="760" t="s">
        <v>142</v>
      </c>
      <c r="S29" s="761"/>
      <c r="T29" s="116">
        <f>10/149*U29</f>
        <v>3.2214765100671139</v>
      </c>
      <c r="U29" s="27">
        <f>U14</f>
        <v>48</v>
      </c>
      <c r="V29" s="87">
        <f t="shared" si="20"/>
        <v>6.7114093959731544E-2</v>
      </c>
      <c r="W29" s="77">
        <v>1</v>
      </c>
      <c r="X29" s="52">
        <v>140</v>
      </c>
      <c r="Y29" s="83">
        <f t="shared" si="16"/>
        <v>9.3959731543624159</v>
      </c>
      <c r="AA29" s="88">
        <v>5</v>
      </c>
      <c r="AB29" s="28" t="s">
        <v>144</v>
      </c>
      <c r="AC29" s="760" t="s">
        <v>142</v>
      </c>
      <c r="AD29" s="761"/>
      <c r="AE29" s="116">
        <f>10/149*AF29</f>
        <v>6.7785234899328861</v>
      </c>
      <c r="AF29" s="27">
        <f>AF14</f>
        <v>101</v>
      </c>
      <c r="AG29" s="114">
        <f t="shared" si="21"/>
        <v>6.7114093959731544E-2</v>
      </c>
      <c r="AH29" s="77">
        <v>1</v>
      </c>
      <c r="AI29" s="52">
        <v>140</v>
      </c>
      <c r="AJ29" s="83">
        <f t="shared" si="17"/>
        <v>9.3959731543624159</v>
      </c>
      <c r="AK29" s="778"/>
      <c r="AL29" s="118"/>
      <c r="AM29" s="88">
        <v>5</v>
      </c>
      <c r="AN29" s="28" t="s">
        <v>157</v>
      </c>
      <c r="AO29" s="760" t="s">
        <v>142</v>
      </c>
      <c r="AP29" s="761"/>
      <c r="AQ29" s="116">
        <v>5</v>
      </c>
      <c r="AR29" s="27">
        <f t="shared" si="24"/>
        <v>149</v>
      </c>
      <c r="AS29" s="114">
        <f t="shared" si="22"/>
        <v>3.3557046979865772E-2</v>
      </c>
      <c r="AT29" s="77">
        <v>1</v>
      </c>
      <c r="AU29" s="52">
        <v>500</v>
      </c>
      <c r="AV29" s="83">
        <f t="shared" si="18"/>
        <v>16.778523489932887</v>
      </c>
      <c r="AW29" s="778"/>
      <c r="AX29" s="21"/>
      <c r="AY29" s="5">
        <f t="shared" si="19"/>
        <v>948.99328859060404</v>
      </c>
      <c r="BA29" s="113">
        <f t="shared" si="23"/>
        <v>2500</v>
      </c>
      <c r="BB29" s="5">
        <f t="shared" si="23"/>
        <v>2500</v>
      </c>
    </row>
    <row r="30" spans="1:61" ht="15" customHeight="1" outlineLevel="2">
      <c r="A30" s="746"/>
      <c r="B30" s="747"/>
      <c r="C30" s="235" t="e">
        <f>'расчет по услугам'!#REF!</f>
        <v>#REF!</v>
      </c>
      <c r="D30" s="238" t="e">
        <f>'расчет по услугам'!#REF!</f>
        <v>#REF!</v>
      </c>
      <c r="E30" s="780" t="e">
        <f>'расчет по услугам'!#REF!</f>
        <v>#REF!</v>
      </c>
      <c r="F30" s="781"/>
      <c r="G30" s="249">
        <f>G14</f>
        <v>48</v>
      </c>
      <c r="H30" s="291" t="e">
        <f>#REF!/G30</f>
        <v>#REF!</v>
      </c>
      <c r="I30" s="249">
        <v>1</v>
      </c>
      <c r="J30" s="252">
        <v>450</v>
      </c>
      <c r="K30" s="278">
        <f t="shared" si="15"/>
        <v>0</v>
      </c>
      <c r="L30" s="782"/>
      <c r="M30" s="269"/>
      <c r="Q30" s="28" t="s">
        <v>145</v>
      </c>
      <c r="R30" s="760" t="s">
        <v>142</v>
      </c>
      <c r="S30" s="761"/>
      <c r="T30" s="116">
        <f>20/149*U30</f>
        <v>6.4429530201342278</v>
      </c>
      <c r="U30" s="27">
        <f>U14</f>
        <v>48</v>
      </c>
      <c r="V30" s="87">
        <f t="shared" si="20"/>
        <v>0.13422818791946309</v>
      </c>
      <c r="W30" s="77">
        <v>1</v>
      </c>
      <c r="X30" s="52">
        <v>450</v>
      </c>
      <c r="Y30" s="83">
        <f t="shared" si="16"/>
        <v>60.402684563758392</v>
      </c>
      <c r="AA30" s="88">
        <v>6</v>
      </c>
      <c r="AB30" s="28" t="s">
        <v>145</v>
      </c>
      <c r="AC30" s="760" t="s">
        <v>142</v>
      </c>
      <c r="AD30" s="761"/>
      <c r="AE30" s="116">
        <f>20/149*AF30</f>
        <v>13.557046979865772</v>
      </c>
      <c r="AF30" s="27">
        <f>AF14</f>
        <v>101</v>
      </c>
      <c r="AG30" s="114">
        <f t="shared" si="21"/>
        <v>0.13422818791946309</v>
      </c>
      <c r="AH30" s="77">
        <v>1</v>
      </c>
      <c r="AI30" s="52">
        <v>450</v>
      </c>
      <c r="AJ30" s="83">
        <f t="shared" si="17"/>
        <v>60.402684563758392</v>
      </c>
      <c r="AK30" s="778"/>
      <c r="AL30" s="118"/>
      <c r="AM30" s="88">
        <v>6</v>
      </c>
      <c r="AN30" s="28" t="s">
        <v>200</v>
      </c>
      <c r="AO30" s="760" t="s">
        <v>142</v>
      </c>
      <c r="AP30" s="761"/>
      <c r="AQ30" s="116">
        <v>6</v>
      </c>
      <c r="AR30" s="27">
        <f t="shared" si="24"/>
        <v>149</v>
      </c>
      <c r="AS30" s="114">
        <f t="shared" si="22"/>
        <v>4.0268456375838924E-2</v>
      </c>
      <c r="AT30" s="77">
        <v>1</v>
      </c>
      <c r="AU30" s="52">
        <v>200</v>
      </c>
      <c r="AV30" s="83">
        <f t="shared" si="18"/>
        <v>8.0536912751677843</v>
      </c>
      <c r="AW30" s="778"/>
      <c r="AX30" s="21"/>
      <c r="AY30" s="5">
        <f t="shared" si="19"/>
        <v>6100.6711409395975</v>
      </c>
      <c r="BA30" s="113">
        <f t="shared" si="23"/>
        <v>1200</v>
      </c>
      <c r="BB30" s="5">
        <f>AV30*AR30</f>
        <v>1199.9999999999998</v>
      </c>
    </row>
    <row r="31" spans="1:61" ht="32.25" hidden="1" customHeight="1" outlineLevel="2">
      <c r="A31" s="746"/>
      <c r="B31" s="747"/>
      <c r="C31" s="235" t="e">
        <f>'расчет по услугам'!#REF!</f>
        <v>#REF!</v>
      </c>
      <c r="D31" s="238" t="e">
        <f>'расчет по услугам'!#REF!</f>
        <v>#REF!</v>
      </c>
      <c r="E31" s="780" t="e">
        <f>'расчет по услугам'!#REF!</f>
        <v>#REF!</v>
      </c>
      <c r="F31" s="781"/>
      <c r="G31" s="249">
        <f>G14</f>
        <v>48</v>
      </c>
      <c r="H31" s="291" t="e">
        <f>#REF!/G31</f>
        <v>#REF!</v>
      </c>
      <c r="I31" s="249">
        <v>1</v>
      </c>
      <c r="J31" s="252">
        <v>850</v>
      </c>
      <c r="K31" s="278">
        <f t="shared" si="15"/>
        <v>0</v>
      </c>
      <c r="L31" s="782"/>
      <c r="M31" s="269"/>
      <c r="Q31" s="28" t="s">
        <v>146</v>
      </c>
      <c r="R31" s="760" t="s">
        <v>142</v>
      </c>
      <c r="S31" s="761"/>
      <c r="T31" s="116">
        <f>18/149*U31</f>
        <v>5.7986577181208059</v>
      </c>
      <c r="U31" s="27">
        <f>U14</f>
        <v>48</v>
      </c>
      <c r="V31" s="87">
        <f t="shared" si="20"/>
        <v>0.12080536912751678</v>
      </c>
      <c r="W31" s="77">
        <v>1</v>
      </c>
      <c r="X31" s="52">
        <v>850</v>
      </c>
      <c r="Y31" s="83">
        <f t="shared" si="16"/>
        <v>102.68456375838927</v>
      </c>
      <c r="AA31" s="88">
        <v>7</v>
      </c>
      <c r="AB31" s="28" t="s">
        <v>146</v>
      </c>
      <c r="AC31" s="760" t="s">
        <v>142</v>
      </c>
      <c r="AD31" s="761"/>
      <c r="AE31" s="116">
        <f>18/149*AF31</f>
        <v>12.201342281879196</v>
      </c>
      <c r="AF31" s="27">
        <f>AF14</f>
        <v>101</v>
      </c>
      <c r="AG31" s="114">
        <f t="shared" si="21"/>
        <v>0.12080536912751678</v>
      </c>
      <c r="AH31" s="77">
        <v>1</v>
      </c>
      <c r="AI31" s="52">
        <v>850</v>
      </c>
      <c r="AJ31" s="83">
        <f t="shared" si="17"/>
        <v>102.68456375838927</v>
      </c>
      <c r="AK31" s="778"/>
      <c r="AL31" s="118"/>
      <c r="AM31" s="88">
        <v>7</v>
      </c>
      <c r="AN31" s="28" t="s">
        <v>201</v>
      </c>
      <c r="AO31" s="760" t="s">
        <v>142</v>
      </c>
      <c r="AP31" s="761"/>
      <c r="AQ31" s="117">
        <v>12</v>
      </c>
      <c r="AR31" s="27">
        <v>149</v>
      </c>
      <c r="AS31" s="114">
        <f>AQ31/AR31</f>
        <v>8.0536912751677847E-2</v>
      </c>
      <c r="AT31" s="77">
        <v>1</v>
      </c>
      <c r="AU31" s="52">
        <v>900</v>
      </c>
      <c r="AV31" s="83">
        <f t="shared" si="18"/>
        <v>72.483221476510067</v>
      </c>
      <c r="AW31" s="778"/>
      <c r="AX31" s="21"/>
      <c r="AY31" s="5">
        <f t="shared" si="19"/>
        <v>10371.140939597317</v>
      </c>
      <c r="BA31" s="113">
        <f t="shared" si="23"/>
        <v>10800</v>
      </c>
      <c r="BB31" s="5">
        <f t="shared" si="23"/>
        <v>10800</v>
      </c>
    </row>
    <row r="32" spans="1:61" ht="15" customHeight="1" outlineLevel="2">
      <c r="A32" s="746"/>
      <c r="B32" s="747"/>
      <c r="C32" s="235" t="e">
        <f>'расчет по услугам'!#REF!</f>
        <v>#REF!</v>
      </c>
      <c r="D32" s="238" t="s">
        <v>285</v>
      </c>
      <c r="E32" s="780" t="e">
        <f>'расчет по услугам'!#REF!</f>
        <v>#REF!</v>
      </c>
      <c r="F32" s="781"/>
      <c r="G32" s="249">
        <f>G14</f>
        <v>48</v>
      </c>
      <c r="H32" s="291" t="e">
        <f>#REF!/G32</f>
        <v>#REF!</v>
      </c>
      <c r="I32" s="249">
        <v>1</v>
      </c>
      <c r="J32" s="252">
        <v>8</v>
      </c>
      <c r="K32" s="278">
        <f t="shared" si="15"/>
        <v>0</v>
      </c>
      <c r="L32" s="782"/>
      <c r="M32" s="269"/>
      <c r="Q32" s="28" t="s">
        <v>202</v>
      </c>
      <c r="R32" s="760" t="s">
        <v>142</v>
      </c>
      <c r="S32" s="761"/>
      <c r="T32" s="116">
        <f>1000/149*U32</f>
        <v>322.14765100671138</v>
      </c>
      <c r="U32" s="27">
        <f>U14</f>
        <v>48</v>
      </c>
      <c r="V32" s="87">
        <f t="shared" si="20"/>
        <v>6.7114093959731536</v>
      </c>
      <c r="W32" s="77">
        <v>1</v>
      </c>
      <c r="X32" s="52">
        <v>8</v>
      </c>
      <c r="Y32" s="83">
        <f t="shared" si="16"/>
        <v>53.691275167785228</v>
      </c>
      <c r="AA32" s="88">
        <v>8</v>
      </c>
      <c r="AB32" s="28" t="s">
        <v>202</v>
      </c>
      <c r="AC32" s="760" t="s">
        <v>142</v>
      </c>
      <c r="AD32" s="761"/>
      <c r="AE32" s="116">
        <f>1000/149*AF32</f>
        <v>677.85234899328862</v>
      </c>
      <c r="AF32" s="27">
        <f>AF14</f>
        <v>101</v>
      </c>
      <c r="AG32" s="114">
        <f t="shared" si="21"/>
        <v>6.7114093959731544</v>
      </c>
      <c r="AH32" s="77">
        <v>1</v>
      </c>
      <c r="AI32" s="52">
        <v>8</v>
      </c>
      <c r="AJ32" s="83">
        <f t="shared" si="17"/>
        <v>53.691275167785236</v>
      </c>
      <c r="AK32" s="778"/>
      <c r="AL32" s="118"/>
      <c r="AM32" s="88">
        <v>8</v>
      </c>
      <c r="AN32" s="28" t="s">
        <v>203</v>
      </c>
      <c r="AO32" s="760" t="s">
        <v>142</v>
      </c>
      <c r="AP32" s="761"/>
      <c r="AQ32" s="116">
        <v>4</v>
      </c>
      <c r="AR32" s="27">
        <f>AR31</f>
        <v>149</v>
      </c>
      <c r="AS32" s="114">
        <f t="shared" ref="AS32:AS42" si="25">AQ32/AR32</f>
        <v>2.6845637583892617E-2</v>
      </c>
      <c r="AT32" s="77">
        <v>1</v>
      </c>
      <c r="AU32" s="52">
        <v>450</v>
      </c>
      <c r="AV32" s="83">
        <f t="shared" si="18"/>
        <v>12.080536912751677</v>
      </c>
      <c r="AW32" s="778"/>
      <c r="AX32" s="21"/>
      <c r="AY32" s="5">
        <f t="shared" si="19"/>
        <v>5422.8187919463089</v>
      </c>
      <c r="BA32" s="113">
        <f>AU32*AQ32</f>
        <v>1800</v>
      </c>
      <c r="BB32" s="5">
        <f t="shared" si="23"/>
        <v>1800</v>
      </c>
    </row>
    <row r="33" spans="1:54" ht="15" hidden="1" customHeight="1" outlineLevel="2">
      <c r="A33" s="746"/>
      <c r="B33" s="747"/>
      <c r="C33" s="235" t="e">
        <f>'расчет по услугам'!#REF!</f>
        <v>#REF!</v>
      </c>
      <c r="D33" s="238" t="e">
        <f>'расчет по услугам'!#REF!</f>
        <v>#REF!</v>
      </c>
      <c r="E33" s="780" t="e">
        <f>'расчет по услугам'!#REF!</f>
        <v>#REF!</v>
      </c>
      <c r="F33" s="781"/>
      <c r="G33" s="249">
        <f>G14</f>
        <v>48</v>
      </c>
      <c r="H33" s="291" t="e">
        <f>#REF!/G33</f>
        <v>#REF!</v>
      </c>
      <c r="I33" s="249">
        <v>1</v>
      </c>
      <c r="J33" s="252">
        <v>2</v>
      </c>
      <c r="K33" s="278">
        <f t="shared" si="15"/>
        <v>0</v>
      </c>
      <c r="L33" s="782"/>
      <c r="M33" s="269"/>
      <c r="Q33" s="28" t="s">
        <v>204</v>
      </c>
      <c r="R33" s="760" t="s">
        <v>142</v>
      </c>
      <c r="S33" s="761"/>
      <c r="T33" s="116">
        <f>35/149*U33</f>
        <v>11.275167785234899</v>
      </c>
      <c r="U33" s="27">
        <f>U14</f>
        <v>48</v>
      </c>
      <c r="V33" s="87">
        <f t="shared" si="20"/>
        <v>0.2348993288590604</v>
      </c>
      <c r="W33" s="77">
        <v>1</v>
      </c>
      <c r="X33" s="52">
        <v>2</v>
      </c>
      <c r="Y33" s="83">
        <f t="shared" si="16"/>
        <v>0.46979865771812079</v>
      </c>
      <c r="AA33" s="88">
        <v>9</v>
      </c>
      <c r="AB33" s="28" t="s">
        <v>204</v>
      </c>
      <c r="AC33" s="760" t="s">
        <v>142</v>
      </c>
      <c r="AD33" s="761"/>
      <c r="AE33" s="116">
        <f>35/149*AF33</f>
        <v>23.724832214765101</v>
      </c>
      <c r="AF33" s="27">
        <f>AF14</f>
        <v>101</v>
      </c>
      <c r="AG33" s="114">
        <f t="shared" si="21"/>
        <v>0.2348993288590604</v>
      </c>
      <c r="AH33" s="77">
        <v>1</v>
      </c>
      <c r="AI33" s="52">
        <v>2</v>
      </c>
      <c r="AJ33" s="83">
        <f t="shared" si="17"/>
        <v>0.46979865771812079</v>
      </c>
      <c r="AK33" s="778"/>
      <c r="AL33" s="118"/>
      <c r="AM33" s="88">
        <v>9</v>
      </c>
      <c r="AN33" s="28" t="s">
        <v>205</v>
      </c>
      <c r="AO33" s="760" t="s">
        <v>142</v>
      </c>
      <c r="AP33" s="761"/>
      <c r="AQ33" s="116">
        <v>10</v>
      </c>
      <c r="AR33" s="27">
        <f t="shared" ref="AR33:AR39" si="26">AR32</f>
        <v>149</v>
      </c>
      <c r="AS33" s="114">
        <f t="shared" si="25"/>
        <v>6.7114093959731544E-2</v>
      </c>
      <c r="AT33" s="77">
        <v>1</v>
      </c>
      <c r="AU33" s="52">
        <v>410</v>
      </c>
      <c r="AV33" s="83">
        <f t="shared" si="18"/>
        <v>27.516778523489933</v>
      </c>
      <c r="AW33" s="778"/>
      <c r="AX33" s="21"/>
      <c r="AY33" s="5">
        <f t="shared" si="19"/>
        <v>47.449664429530202</v>
      </c>
      <c r="BA33" s="113">
        <f t="shared" si="23"/>
        <v>4100</v>
      </c>
      <c r="BB33" s="5">
        <f t="shared" si="23"/>
        <v>4100</v>
      </c>
    </row>
    <row r="34" spans="1:54" ht="15" hidden="1" customHeight="1" outlineLevel="2">
      <c r="A34" s="746"/>
      <c r="B34" s="747"/>
      <c r="C34" s="235" t="e">
        <f>'расчет по услугам'!#REF!</f>
        <v>#REF!</v>
      </c>
      <c r="D34" s="238" t="e">
        <f>'расчет по услугам'!#REF!</f>
        <v>#REF!</v>
      </c>
      <c r="E34" s="780" t="e">
        <f>'расчет по услугам'!#REF!</f>
        <v>#REF!</v>
      </c>
      <c r="F34" s="781"/>
      <c r="G34" s="249">
        <f>G14</f>
        <v>48</v>
      </c>
      <c r="H34" s="291" t="e">
        <f>#REF!/G34</f>
        <v>#REF!</v>
      </c>
      <c r="I34" s="249">
        <v>1</v>
      </c>
      <c r="J34" s="252">
        <v>45</v>
      </c>
      <c r="K34" s="278">
        <f t="shared" si="15"/>
        <v>0</v>
      </c>
      <c r="L34" s="782"/>
      <c r="M34" s="269"/>
      <c r="Q34" s="28" t="s">
        <v>206</v>
      </c>
      <c r="R34" s="760" t="s">
        <v>147</v>
      </c>
      <c r="S34" s="761"/>
      <c r="T34" s="116">
        <f>145/149*U34</f>
        <v>46.711409395973156</v>
      </c>
      <c r="U34" s="27">
        <f>U14</f>
        <v>48</v>
      </c>
      <c r="V34" s="87">
        <f t="shared" si="20"/>
        <v>0.97315436241610742</v>
      </c>
      <c r="W34" s="77">
        <v>1</v>
      </c>
      <c r="X34" s="52">
        <v>45</v>
      </c>
      <c r="Y34" s="83">
        <f t="shared" si="16"/>
        <v>43.791946308724832</v>
      </c>
      <c r="AA34" s="88">
        <v>10</v>
      </c>
      <c r="AB34" s="28" t="s">
        <v>206</v>
      </c>
      <c r="AC34" s="760" t="s">
        <v>147</v>
      </c>
      <c r="AD34" s="761"/>
      <c r="AE34" s="116">
        <f>145/149*AF34</f>
        <v>98.288590604026851</v>
      </c>
      <c r="AF34" s="27">
        <f>AF14</f>
        <v>101</v>
      </c>
      <c r="AG34" s="114">
        <f t="shared" si="21"/>
        <v>0.97315436241610742</v>
      </c>
      <c r="AH34" s="77">
        <v>1</v>
      </c>
      <c r="AI34" s="52">
        <v>45</v>
      </c>
      <c r="AJ34" s="83">
        <f t="shared" si="17"/>
        <v>43.791946308724832</v>
      </c>
      <c r="AK34" s="778"/>
      <c r="AL34" s="118"/>
      <c r="AM34" s="88">
        <v>10</v>
      </c>
      <c r="AN34" s="28" t="s">
        <v>207</v>
      </c>
      <c r="AO34" s="760" t="s">
        <v>142</v>
      </c>
      <c r="AP34" s="761"/>
      <c r="AQ34" s="116">
        <v>10</v>
      </c>
      <c r="AR34" s="27">
        <f t="shared" si="26"/>
        <v>149</v>
      </c>
      <c r="AS34" s="114">
        <f t="shared" si="25"/>
        <v>6.7114093959731544E-2</v>
      </c>
      <c r="AT34" s="77">
        <v>1</v>
      </c>
      <c r="AU34" s="52">
        <v>330</v>
      </c>
      <c r="AV34" s="83">
        <f t="shared" si="18"/>
        <v>22.14765100671141</v>
      </c>
      <c r="AW34" s="778"/>
      <c r="AX34" s="21"/>
      <c r="AY34" s="5">
        <f t="shared" si="19"/>
        <v>4422.9865771812083</v>
      </c>
      <c r="BA34" s="113">
        <f t="shared" si="23"/>
        <v>3300</v>
      </c>
      <c r="BB34" s="5">
        <f t="shared" si="23"/>
        <v>3300</v>
      </c>
    </row>
    <row r="35" spans="1:54" ht="18" hidden="1" customHeight="1" outlineLevel="2">
      <c r="A35" s="746"/>
      <c r="B35" s="747"/>
      <c r="C35" s="235" t="e">
        <f>'расчет по услугам'!#REF!</f>
        <v>#REF!</v>
      </c>
      <c r="D35" s="238" t="e">
        <f>'расчет по услугам'!#REF!</f>
        <v>#REF!</v>
      </c>
      <c r="E35" s="780" t="e">
        <f>'расчет по услугам'!#REF!</f>
        <v>#REF!</v>
      </c>
      <c r="F35" s="781"/>
      <c r="G35" s="249">
        <f>G14</f>
        <v>48</v>
      </c>
      <c r="H35" s="291" t="e">
        <f>#REF!/G35</f>
        <v>#REF!</v>
      </c>
      <c r="I35" s="249">
        <v>1</v>
      </c>
      <c r="J35" s="252">
        <v>120</v>
      </c>
      <c r="K35" s="278">
        <f t="shared" si="15"/>
        <v>0</v>
      </c>
      <c r="L35" s="782"/>
      <c r="M35" s="269"/>
      <c r="Q35" s="28" t="s">
        <v>208</v>
      </c>
      <c r="R35" s="760" t="s">
        <v>147</v>
      </c>
      <c r="S35" s="761"/>
      <c r="T35" s="116">
        <f>145/149*U35</f>
        <v>46.711409395973156</v>
      </c>
      <c r="U35" s="27">
        <f>U14</f>
        <v>48</v>
      </c>
      <c r="V35" s="87">
        <f t="shared" si="20"/>
        <v>0.97315436241610742</v>
      </c>
      <c r="W35" s="77">
        <v>1</v>
      </c>
      <c r="X35" s="52">
        <v>120</v>
      </c>
      <c r="Y35" s="83">
        <f t="shared" si="16"/>
        <v>116.77852348993289</v>
      </c>
      <c r="AA35" s="88">
        <v>11</v>
      </c>
      <c r="AB35" s="28" t="s">
        <v>208</v>
      </c>
      <c r="AC35" s="760" t="s">
        <v>147</v>
      </c>
      <c r="AD35" s="761"/>
      <c r="AE35" s="116">
        <f>145/149*AF35</f>
        <v>98.288590604026851</v>
      </c>
      <c r="AF35" s="27">
        <f>AF14</f>
        <v>101</v>
      </c>
      <c r="AG35" s="114">
        <f t="shared" si="21"/>
        <v>0.97315436241610742</v>
      </c>
      <c r="AH35" s="77">
        <v>1</v>
      </c>
      <c r="AI35" s="52">
        <v>120</v>
      </c>
      <c r="AJ35" s="83">
        <f t="shared" si="17"/>
        <v>116.77852348993289</v>
      </c>
      <c r="AK35" s="778"/>
      <c r="AL35" s="118"/>
      <c r="AM35" s="88">
        <v>11</v>
      </c>
      <c r="AN35" s="28" t="s">
        <v>209</v>
      </c>
      <c r="AO35" s="760" t="s">
        <v>142</v>
      </c>
      <c r="AP35" s="761"/>
      <c r="AQ35" s="116">
        <v>25</v>
      </c>
      <c r="AR35" s="27">
        <f t="shared" si="26"/>
        <v>149</v>
      </c>
      <c r="AS35" s="114">
        <f t="shared" si="25"/>
        <v>0.16778523489932887</v>
      </c>
      <c r="AT35" s="77">
        <v>1</v>
      </c>
      <c r="AU35" s="52">
        <v>145</v>
      </c>
      <c r="AV35" s="83">
        <f t="shared" si="18"/>
        <v>24.328859060402685</v>
      </c>
      <c r="AW35" s="778"/>
      <c r="AX35" s="21"/>
      <c r="AY35" s="5">
        <f t="shared" si="19"/>
        <v>11794.630872483222</v>
      </c>
      <c r="BA35" s="113">
        <f t="shared" si="23"/>
        <v>3625</v>
      </c>
      <c r="BB35" s="5">
        <f t="shared" si="23"/>
        <v>3625</v>
      </c>
    </row>
    <row r="36" spans="1:54" ht="15" hidden="1" customHeight="1" outlineLevel="2">
      <c r="A36" s="746"/>
      <c r="B36" s="747"/>
      <c r="C36" s="235" t="e">
        <f>'расчет по услугам'!#REF!</f>
        <v>#REF!</v>
      </c>
      <c r="D36" s="238" t="e">
        <f>'расчет по услугам'!#REF!</f>
        <v>#REF!</v>
      </c>
      <c r="E36" s="780" t="e">
        <f>'расчет по услугам'!#REF!</f>
        <v>#REF!</v>
      </c>
      <c r="F36" s="781"/>
      <c r="G36" s="249">
        <f>G14</f>
        <v>48</v>
      </c>
      <c r="H36" s="291" t="e">
        <f>#REF!/G36</f>
        <v>#REF!</v>
      </c>
      <c r="I36" s="249">
        <v>1</v>
      </c>
      <c r="J36" s="252">
        <v>70</v>
      </c>
      <c r="K36" s="278">
        <f t="shared" si="15"/>
        <v>0</v>
      </c>
      <c r="L36" s="782"/>
      <c r="M36" s="269"/>
      <c r="Q36" s="28" t="s">
        <v>210</v>
      </c>
      <c r="R36" s="760" t="s">
        <v>147</v>
      </c>
      <c r="S36" s="761"/>
      <c r="T36" s="116">
        <f>25/149*U36</f>
        <v>8.053691275167786</v>
      </c>
      <c r="U36" s="27">
        <f>U14</f>
        <v>48</v>
      </c>
      <c r="V36" s="87">
        <f t="shared" si="20"/>
        <v>0.16778523489932887</v>
      </c>
      <c r="W36" s="77">
        <v>1</v>
      </c>
      <c r="X36" s="52">
        <v>70</v>
      </c>
      <c r="Y36" s="83">
        <f t="shared" si="16"/>
        <v>11.74496644295302</v>
      </c>
      <c r="AA36" s="88">
        <v>12</v>
      </c>
      <c r="AB36" s="28" t="s">
        <v>210</v>
      </c>
      <c r="AC36" s="760" t="s">
        <v>147</v>
      </c>
      <c r="AD36" s="761"/>
      <c r="AE36" s="116">
        <f>25/149*AF36</f>
        <v>16.946308724832214</v>
      </c>
      <c r="AF36" s="27">
        <f>AF14</f>
        <v>101</v>
      </c>
      <c r="AG36" s="114">
        <f t="shared" si="21"/>
        <v>0.16778523489932884</v>
      </c>
      <c r="AH36" s="77">
        <v>1</v>
      </c>
      <c r="AI36" s="52">
        <v>70</v>
      </c>
      <c r="AJ36" s="83">
        <f t="shared" si="17"/>
        <v>11.744966442953018</v>
      </c>
      <c r="AK36" s="778"/>
      <c r="AL36" s="118"/>
      <c r="AM36" s="88">
        <v>12</v>
      </c>
      <c r="AN36" s="28" t="s">
        <v>211</v>
      </c>
      <c r="AO36" s="760" t="s">
        <v>147</v>
      </c>
      <c r="AP36" s="761"/>
      <c r="AQ36" s="116">
        <v>6</v>
      </c>
      <c r="AR36" s="27">
        <f t="shared" si="26"/>
        <v>149</v>
      </c>
      <c r="AS36" s="114">
        <f t="shared" si="25"/>
        <v>4.0268456375838924E-2</v>
      </c>
      <c r="AT36" s="77">
        <v>1</v>
      </c>
      <c r="AU36" s="52">
        <v>470</v>
      </c>
      <c r="AV36" s="83">
        <f t="shared" si="18"/>
        <v>18.926174496644293</v>
      </c>
      <c r="AW36" s="778"/>
      <c r="AX36" s="21"/>
      <c r="AY36" s="5">
        <f t="shared" si="19"/>
        <v>1186.2416107382548</v>
      </c>
      <c r="BA36" s="113">
        <f t="shared" si="23"/>
        <v>2820</v>
      </c>
      <c r="BB36" s="5">
        <f t="shared" si="23"/>
        <v>2819.9999999999995</v>
      </c>
    </row>
    <row r="37" spans="1:54" ht="15" hidden="1" customHeight="1" outlineLevel="2">
      <c r="A37" s="746"/>
      <c r="B37" s="747"/>
      <c r="C37" s="235" t="e">
        <f>'расчет по услугам'!#REF!</f>
        <v>#REF!</v>
      </c>
      <c r="D37" s="238" t="e">
        <f>'расчет по услугам'!#REF!</f>
        <v>#REF!</v>
      </c>
      <c r="E37" s="780" t="e">
        <f>'расчет по услугам'!#REF!</f>
        <v>#REF!</v>
      </c>
      <c r="F37" s="781"/>
      <c r="G37" s="249">
        <f>G15</f>
        <v>48</v>
      </c>
      <c r="H37" s="291" t="e">
        <f>#REF!/G37</f>
        <v>#REF!</v>
      </c>
      <c r="I37" s="249">
        <v>1</v>
      </c>
      <c r="J37" s="252">
        <v>110</v>
      </c>
      <c r="K37" s="278">
        <f t="shared" si="15"/>
        <v>0</v>
      </c>
      <c r="L37" s="782"/>
      <c r="M37" s="269"/>
      <c r="Q37" s="28" t="s">
        <v>148</v>
      </c>
      <c r="R37" s="760" t="s">
        <v>142</v>
      </c>
      <c r="S37" s="761"/>
      <c r="T37" s="116">
        <f>100/149*U37</f>
        <v>32.214765100671144</v>
      </c>
      <c r="U37" s="27">
        <f>U15</f>
        <v>48</v>
      </c>
      <c r="V37" s="87">
        <f t="shared" si="20"/>
        <v>0.67114093959731547</v>
      </c>
      <c r="W37" s="77">
        <v>1</v>
      </c>
      <c r="X37" s="52">
        <v>110</v>
      </c>
      <c r="Y37" s="83">
        <f t="shared" si="16"/>
        <v>73.825503355704697</v>
      </c>
      <c r="AA37" s="88">
        <v>13</v>
      </c>
      <c r="AB37" s="28" t="s">
        <v>148</v>
      </c>
      <c r="AC37" s="760" t="s">
        <v>142</v>
      </c>
      <c r="AD37" s="761"/>
      <c r="AE37" s="116">
        <f>100/149*AF37</f>
        <v>67.785234899328856</v>
      </c>
      <c r="AF37" s="27">
        <f>AF15</f>
        <v>101</v>
      </c>
      <c r="AG37" s="114">
        <f t="shared" si="21"/>
        <v>0.67114093959731536</v>
      </c>
      <c r="AH37" s="77">
        <v>1</v>
      </c>
      <c r="AI37" s="52">
        <v>110</v>
      </c>
      <c r="AJ37" s="83">
        <f t="shared" si="17"/>
        <v>73.825503355704683</v>
      </c>
      <c r="AK37" s="778"/>
      <c r="AL37" s="118"/>
      <c r="AM37" s="88">
        <v>13</v>
      </c>
      <c r="AN37" s="28" t="s">
        <v>212</v>
      </c>
      <c r="AO37" s="760" t="s">
        <v>147</v>
      </c>
      <c r="AP37" s="761"/>
      <c r="AQ37" s="116">
        <v>6</v>
      </c>
      <c r="AR37" s="27">
        <f t="shared" si="26"/>
        <v>149</v>
      </c>
      <c r="AS37" s="114">
        <f t="shared" si="25"/>
        <v>4.0268456375838924E-2</v>
      </c>
      <c r="AT37" s="77">
        <v>1</v>
      </c>
      <c r="AU37" s="52">
        <v>350</v>
      </c>
      <c r="AV37" s="83">
        <f t="shared" si="18"/>
        <v>14.093959731543624</v>
      </c>
      <c r="AW37" s="778"/>
      <c r="AX37" s="21"/>
      <c r="AY37" s="5">
        <f t="shared" si="19"/>
        <v>7456.3758389261729</v>
      </c>
      <c r="BA37" s="113">
        <f t="shared" si="23"/>
        <v>2100</v>
      </c>
      <c r="BB37" s="5">
        <f t="shared" si="23"/>
        <v>2100</v>
      </c>
    </row>
    <row r="38" spans="1:54" ht="15" hidden="1" customHeight="1" outlineLevel="2">
      <c r="A38" s="746"/>
      <c r="B38" s="747"/>
      <c r="C38" s="235" t="e">
        <f>'расчет по услугам'!#REF!</f>
        <v>#REF!</v>
      </c>
      <c r="D38" s="238" t="e">
        <f>'расчет по услугам'!#REF!</f>
        <v>#REF!</v>
      </c>
      <c r="E38" s="780" t="e">
        <f>'расчет по услугам'!#REF!</f>
        <v>#REF!</v>
      </c>
      <c r="F38" s="781"/>
      <c r="G38" s="249">
        <f>G16</f>
        <v>48</v>
      </c>
      <c r="H38" s="291" t="e">
        <f>#REF!/G38</f>
        <v>#REF!</v>
      </c>
      <c r="I38" s="249">
        <v>1</v>
      </c>
      <c r="J38" s="252">
        <v>50</v>
      </c>
      <c r="K38" s="278">
        <f t="shared" si="15"/>
        <v>0</v>
      </c>
      <c r="L38" s="782"/>
      <c r="M38" s="269"/>
      <c r="Q38" s="28" t="s">
        <v>149</v>
      </c>
      <c r="R38" s="760" t="s">
        <v>142</v>
      </c>
      <c r="S38" s="761"/>
      <c r="T38" s="116">
        <f>145/149*U38</f>
        <v>46.711409395973156</v>
      </c>
      <c r="U38" s="27">
        <f>U16</f>
        <v>48</v>
      </c>
      <c r="V38" s="87">
        <f t="shared" si="20"/>
        <v>0.97315436241610742</v>
      </c>
      <c r="W38" s="77">
        <v>1</v>
      </c>
      <c r="X38" s="52">
        <v>50</v>
      </c>
      <c r="Y38" s="83">
        <f t="shared" si="16"/>
        <v>48.65771812080537</v>
      </c>
      <c r="AA38" s="88">
        <v>14</v>
      </c>
      <c r="AB38" s="28" t="s">
        <v>149</v>
      </c>
      <c r="AC38" s="760" t="s">
        <v>142</v>
      </c>
      <c r="AD38" s="761"/>
      <c r="AE38" s="116">
        <f>145/149*AF38</f>
        <v>98.288590604026851</v>
      </c>
      <c r="AF38" s="27">
        <f>AF16</f>
        <v>101</v>
      </c>
      <c r="AG38" s="114">
        <f t="shared" si="21"/>
        <v>0.97315436241610742</v>
      </c>
      <c r="AH38" s="77">
        <v>1</v>
      </c>
      <c r="AI38" s="52">
        <v>50</v>
      </c>
      <c r="AJ38" s="83">
        <f t="shared" si="17"/>
        <v>48.65771812080537</v>
      </c>
      <c r="AK38" s="778"/>
      <c r="AL38" s="118"/>
      <c r="AM38" s="88">
        <v>14</v>
      </c>
      <c r="AN38" s="28" t="s">
        <v>213</v>
      </c>
      <c r="AO38" s="760" t="s">
        <v>142</v>
      </c>
      <c r="AP38" s="761"/>
      <c r="AQ38" s="116">
        <v>12</v>
      </c>
      <c r="AR38" s="27">
        <f t="shared" si="26"/>
        <v>149</v>
      </c>
      <c r="AS38" s="114">
        <f t="shared" si="25"/>
        <v>8.0536912751677847E-2</v>
      </c>
      <c r="AT38" s="77">
        <v>1</v>
      </c>
      <c r="AU38" s="52">
        <v>300</v>
      </c>
      <c r="AV38" s="83">
        <f t="shared" si="18"/>
        <v>24.161073825503355</v>
      </c>
      <c r="AW38" s="778"/>
      <c r="AX38" s="21"/>
      <c r="AY38" s="5">
        <f t="shared" si="19"/>
        <v>4914.4295302013425</v>
      </c>
      <c r="BA38" s="113">
        <f t="shared" si="23"/>
        <v>3600</v>
      </c>
      <c r="BB38" s="5">
        <f t="shared" si="23"/>
        <v>3600</v>
      </c>
    </row>
    <row r="39" spans="1:54" ht="15" hidden="1" customHeight="1" outlineLevel="2">
      <c r="A39" s="746"/>
      <c r="B39" s="747"/>
      <c r="C39" s="235" t="e">
        <f>'расчет по услугам'!#REF!</f>
        <v>#REF!</v>
      </c>
      <c r="D39" s="238" t="e">
        <f>'расчет по услугам'!#REF!</f>
        <v>#REF!</v>
      </c>
      <c r="E39" s="780" t="e">
        <f>'расчет по услугам'!#REF!</f>
        <v>#REF!</v>
      </c>
      <c r="F39" s="781"/>
      <c r="G39" s="249">
        <f>G38</f>
        <v>48</v>
      </c>
      <c r="H39" s="291" t="e">
        <f>#REF!/G39</f>
        <v>#REF!</v>
      </c>
      <c r="I39" s="249">
        <v>1</v>
      </c>
      <c r="J39" s="252">
        <v>60</v>
      </c>
      <c r="K39" s="278">
        <f t="shared" si="15"/>
        <v>0</v>
      </c>
      <c r="L39" s="782"/>
      <c r="M39" s="269"/>
      <c r="Q39" s="28" t="s">
        <v>150</v>
      </c>
      <c r="R39" s="760" t="s">
        <v>142</v>
      </c>
      <c r="S39" s="761"/>
      <c r="T39" s="116">
        <f>145/149*U39</f>
        <v>46.711409395973156</v>
      </c>
      <c r="U39" s="27">
        <f>U38</f>
        <v>48</v>
      </c>
      <c r="V39" s="87">
        <f t="shared" si="20"/>
        <v>0.97315436241610742</v>
      </c>
      <c r="W39" s="77">
        <v>1</v>
      </c>
      <c r="X39" s="52">
        <v>60</v>
      </c>
      <c r="Y39" s="83">
        <f t="shared" si="16"/>
        <v>58.389261744966447</v>
      </c>
      <c r="AA39" s="88">
        <v>15</v>
      </c>
      <c r="AB39" s="28" t="s">
        <v>150</v>
      </c>
      <c r="AC39" s="760" t="s">
        <v>142</v>
      </c>
      <c r="AD39" s="761"/>
      <c r="AE39" s="116">
        <f>145/149*AF39</f>
        <v>98.288590604026851</v>
      </c>
      <c r="AF39" s="27">
        <f>AF38</f>
        <v>101</v>
      </c>
      <c r="AG39" s="114">
        <f t="shared" si="21"/>
        <v>0.97315436241610742</v>
      </c>
      <c r="AH39" s="77">
        <v>1</v>
      </c>
      <c r="AI39" s="52">
        <v>60</v>
      </c>
      <c r="AJ39" s="83">
        <f t="shared" si="17"/>
        <v>58.389261744966447</v>
      </c>
      <c r="AK39" s="778"/>
      <c r="AL39" s="118"/>
      <c r="AM39" s="88">
        <v>15</v>
      </c>
      <c r="AN39" s="28" t="s">
        <v>214</v>
      </c>
      <c r="AO39" s="760" t="s">
        <v>142</v>
      </c>
      <c r="AP39" s="761"/>
      <c r="AQ39" s="116">
        <v>20</v>
      </c>
      <c r="AR39" s="27">
        <f t="shared" si="26"/>
        <v>149</v>
      </c>
      <c r="AS39" s="114">
        <f t="shared" si="25"/>
        <v>0.13422818791946309</v>
      </c>
      <c r="AT39" s="77">
        <v>1</v>
      </c>
      <c r="AU39" s="52">
        <v>500</v>
      </c>
      <c r="AV39" s="83">
        <f t="shared" si="18"/>
        <v>67.114093959731548</v>
      </c>
      <c r="AW39" s="778"/>
      <c r="AX39" s="21"/>
      <c r="AY39" s="5">
        <f t="shared" si="19"/>
        <v>5897.3154362416108</v>
      </c>
      <c r="BA39" s="113">
        <f t="shared" si="23"/>
        <v>10000</v>
      </c>
      <c r="BB39" s="5">
        <f t="shared" si="23"/>
        <v>10000</v>
      </c>
    </row>
    <row r="40" spans="1:54" ht="16.5" hidden="1" customHeight="1" outlineLevel="2">
      <c r="A40" s="746"/>
      <c r="B40" s="747"/>
      <c r="C40" s="235" t="e">
        <f>'расчет по услугам'!#REF!</f>
        <v>#REF!</v>
      </c>
      <c r="D40" s="238" t="e">
        <f>'расчет по услугам'!#REF!</f>
        <v>#REF!</v>
      </c>
      <c r="E40" s="780" t="e">
        <f>'расчет по услугам'!#REF!</f>
        <v>#REF!</v>
      </c>
      <c r="F40" s="781"/>
      <c r="G40" s="249">
        <f t="shared" ref="G40:G41" si="27">G17</f>
        <v>48</v>
      </c>
      <c r="H40" s="291" t="e">
        <f>#REF!/G40</f>
        <v>#REF!</v>
      </c>
      <c r="I40" s="249">
        <v>1</v>
      </c>
      <c r="J40" s="252">
        <v>30</v>
      </c>
      <c r="K40" s="278">
        <f t="shared" si="15"/>
        <v>0</v>
      </c>
      <c r="L40" s="782"/>
      <c r="M40" s="269"/>
      <c r="Q40" s="28" t="s">
        <v>215</v>
      </c>
      <c r="R40" s="760" t="s">
        <v>147</v>
      </c>
      <c r="S40" s="761"/>
      <c r="T40" s="116">
        <f>145/149*U40</f>
        <v>46.711409395973156</v>
      </c>
      <c r="U40" s="27">
        <f t="shared" ref="U40:U41" si="28">U17</f>
        <v>48</v>
      </c>
      <c r="V40" s="87">
        <f t="shared" si="20"/>
        <v>0.97315436241610742</v>
      </c>
      <c r="W40" s="77">
        <v>1</v>
      </c>
      <c r="X40" s="52">
        <v>30</v>
      </c>
      <c r="Y40" s="83">
        <f t="shared" si="16"/>
        <v>29.194630872483224</v>
      </c>
      <c r="AA40" s="88">
        <v>16</v>
      </c>
      <c r="AB40" s="28" t="s">
        <v>215</v>
      </c>
      <c r="AC40" s="760" t="s">
        <v>147</v>
      </c>
      <c r="AD40" s="761"/>
      <c r="AE40" s="116">
        <f>145/149*AF40</f>
        <v>98.288590604026851</v>
      </c>
      <c r="AF40" s="27">
        <f t="shared" ref="AF40:AF41" si="29">AF17</f>
        <v>101</v>
      </c>
      <c r="AG40" s="114">
        <f t="shared" si="21"/>
        <v>0.97315436241610742</v>
      </c>
      <c r="AH40" s="77">
        <v>1</v>
      </c>
      <c r="AI40" s="52">
        <v>30</v>
      </c>
      <c r="AJ40" s="83">
        <f t="shared" si="17"/>
        <v>29.194630872483224</v>
      </c>
      <c r="AK40" s="778"/>
      <c r="AL40" s="118"/>
      <c r="AM40" s="88">
        <v>16</v>
      </c>
      <c r="AN40" s="28" t="s">
        <v>158</v>
      </c>
      <c r="AO40" s="760" t="s">
        <v>142</v>
      </c>
      <c r="AP40" s="761"/>
      <c r="AQ40" s="116">
        <v>100</v>
      </c>
      <c r="AR40" s="27">
        <v>149</v>
      </c>
      <c r="AS40" s="114">
        <f t="shared" si="25"/>
        <v>0.67114093959731547</v>
      </c>
      <c r="AT40" s="77">
        <v>1</v>
      </c>
      <c r="AU40" s="52">
        <v>250</v>
      </c>
      <c r="AV40" s="83">
        <f t="shared" si="18"/>
        <v>167.78523489932886</v>
      </c>
      <c r="AW40" s="778"/>
      <c r="AX40" s="21"/>
      <c r="AY40" s="5">
        <f t="shared" si="19"/>
        <v>2948.6577181208054</v>
      </c>
      <c r="BA40" s="113">
        <f t="shared" si="23"/>
        <v>25000</v>
      </c>
      <c r="BB40" s="5">
        <f t="shared" si="23"/>
        <v>25000</v>
      </c>
    </row>
    <row r="41" spans="1:54" ht="15" hidden="1" customHeight="1" outlineLevel="2">
      <c r="A41" s="746"/>
      <c r="B41" s="747"/>
      <c r="C41" s="235" t="e">
        <f>'расчет по услугам'!#REF!</f>
        <v>#REF!</v>
      </c>
      <c r="D41" s="238" t="e">
        <f>'расчет по услугам'!#REF!</f>
        <v>#REF!</v>
      </c>
      <c r="E41" s="780" t="e">
        <f>'расчет по услугам'!#REF!</f>
        <v>#REF!</v>
      </c>
      <c r="F41" s="781"/>
      <c r="G41" s="249">
        <f t="shared" si="27"/>
        <v>48</v>
      </c>
      <c r="H41" s="291" t="e">
        <f>#REF!/G41</f>
        <v>#REF!</v>
      </c>
      <c r="I41" s="249">
        <v>1</v>
      </c>
      <c r="J41" s="252">
        <v>35</v>
      </c>
      <c r="K41" s="278">
        <f t="shared" si="15"/>
        <v>0</v>
      </c>
      <c r="L41" s="782"/>
      <c r="M41" s="269"/>
      <c r="Q41" s="28" t="s">
        <v>151</v>
      </c>
      <c r="R41" s="760" t="s">
        <v>147</v>
      </c>
      <c r="S41" s="761"/>
      <c r="T41" s="116">
        <f>145/149*U41</f>
        <v>46.711409395973156</v>
      </c>
      <c r="U41" s="27">
        <f t="shared" si="28"/>
        <v>48</v>
      </c>
      <c r="V41" s="87">
        <f t="shared" si="20"/>
        <v>0.97315436241610742</v>
      </c>
      <c r="W41" s="77">
        <v>1</v>
      </c>
      <c r="X41" s="52">
        <v>35</v>
      </c>
      <c r="Y41" s="83">
        <f t="shared" si="16"/>
        <v>34.060402684563762</v>
      </c>
      <c r="AA41" s="88">
        <v>17</v>
      </c>
      <c r="AB41" s="28" t="s">
        <v>151</v>
      </c>
      <c r="AC41" s="760" t="s">
        <v>147</v>
      </c>
      <c r="AD41" s="761"/>
      <c r="AE41" s="116">
        <f>145/149*AF41</f>
        <v>98.288590604026851</v>
      </c>
      <c r="AF41" s="27">
        <f t="shared" si="29"/>
        <v>101</v>
      </c>
      <c r="AG41" s="114">
        <f t="shared" si="21"/>
        <v>0.97315436241610742</v>
      </c>
      <c r="AH41" s="77">
        <v>1</v>
      </c>
      <c r="AI41" s="52">
        <v>35</v>
      </c>
      <c r="AJ41" s="83">
        <f t="shared" si="17"/>
        <v>34.060402684563762</v>
      </c>
      <c r="AK41" s="778"/>
      <c r="AL41" s="118"/>
      <c r="AM41" s="88">
        <v>17</v>
      </c>
      <c r="AN41" s="28" t="s">
        <v>159</v>
      </c>
      <c r="AO41" s="760" t="s">
        <v>142</v>
      </c>
      <c r="AP41" s="761"/>
      <c r="AQ41" s="116">
        <v>20</v>
      </c>
      <c r="AR41" s="27">
        <v>149</v>
      </c>
      <c r="AS41" s="114">
        <f t="shared" si="25"/>
        <v>0.13422818791946309</v>
      </c>
      <c r="AT41" s="77">
        <v>1</v>
      </c>
      <c r="AU41" s="52">
        <v>80</v>
      </c>
      <c r="AV41" s="83">
        <f t="shared" si="18"/>
        <v>10.738255033557047</v>
      </c>
      <c r="AW41" s="778"/>
      <c r="AX41" s="21"/>
      <c r="AY41" s="5">
        <f t="shared" si="19"/>
        <v>3440.10067114094</v>
      </c>
      <c r="BA41" s="113">
        <f t="shared" si="23"/>
        <v>1600</v>
      </c>
      <c r="BB41" s="5">
        <f t="shared" si="23"/>
        <v>1600</v>
      </c>
    </row>
    <row r="42" spans="1:54" ht="15" hidden="1" customHeight="1" outlineLevel="2">
      <c r="A42" s="746"/>
      <c r="B42" s="747"/>
      <c r="C42" s="235" t="e">
        <f>'расчет по услугам'!#REF!</f>
        <v>#REF!</v>
      </c>
      <c r="D42" s="238" t="e">
        <f>'расчет по услугам'!#REF!</f>
        <v>#REF!</v>
      </c>
      <c r="E42" s="780" t="e">
        <f>'расчет по услугам'!#REF!</f>
        <v>#REF!</v>
      </c>
      <c r="F42" s="781"/>
      <c r="G42" s="249">
        <f>G41</f>
        <v>48</v>
      </c>
      <c r="H42" s="291" t="e">
        <f>#REF!/G42</f>
        <v>#REF!</v>
      </c>
      <c r="I42" s="249">
        <v>1</v>
      </c>
      <c r="J42" s="252">
        <v>17</v>
      </c>
      <c r="K42" s="278">
        <f t="shared" si="15"/>
        <v>0</v>
      </c>
      <c r="L42" s="782"/>
      <c r="M42" s="269"/>
      <c r="Q42" s="28" t="s">
        <v>216</v>
      </c>
      <c r="R42" s="760" t="s">
        <v>142</v>
      </c>
      <c r="S42" s="761"/>
      <c r="T42" s="116">
        <f>15/149*U42</f>
        <v>4.8322147651006713</v>
      </c>
      <c r="U42" s="27">
        <f>U41</f>
        <v>48</v>
      </c>
      <c r="V42" s="87">
        <f t="shared" si="20"/>
        <v>0.10067114093959732</v>
      </c>
      <c r="W42" s="77">
        <v>1</v>
      </c>
      <c r="X42" s="52">
        <v>17</v>
      </c>
      <c r="Y42" s="83">
        <f t="shared" si="16"/>
        <v>1.7114093959731544</v>
      </c>
      <c r="AA42" s="88">
        <v>18</v>
      </c>
      <c r="AB42" s="28" t="s">
        <v>216</v>
      </c>
      <c r="AC42" s="760" t="s">
        <v>142</v>
      </c>
      <c r="AD42" s="761"/>
      <c r="AE42" s="116">
        <f>15/149*AF42</f>
        <v>10.167785234899329</v>
      </c>
      <c r="AF42" s="27">
        <f>AF41</f>
        <v>101</v>
      </c>
      <c r="AG42" s="114">
        <f t="shared" si="21"/>
        <v>0.10067114093959731</v>
      </c>
      <c r="AH42" s="77">
        <v>1</v>
      </c>
      <c r="AI42" s="52">
        <v>17</v>
      </c>
      <c r="AJ42" s="83">
        <f t="shared" si="17"/>
        <v>1.7114093959731542</v>
      </c>
      <c r="AK42" s="778"/>
      <c r="AL42" s="118"/>
      <c r="AM42" s="88">
        <v>18</v>
      </c>
      <c r="AN42" s="28" t="s">
        <v>160</v>
      </c>
      <c r="AO42" s="760" t="s">
        <v>142</v>
      </c>
      <c r="AP42" s="761"/>
      <c r="AQ42" s="116">
        <v>100</v>
      </c>
      <c r="AR42" s="27">
        <v>149</v>
      </c>
      <c r="AS42" s="114">
        <f t="shared" si="25"/>
        <v>0.67114093959731547</v>
      </c>
      <c r="AT42" s="77">
        <v>1</v>
      </c>
      <c r="AU42" s="52">
        <v>35</v>
      </c>
      <c r="AV42" s="83">
        <f t="shared" si="18"/>
        <v>23.48993288590604</v>
      </c>
      <c r="AW42" s="778"/>
      <c r="AX42" s="21"/>
      <c r="AY42" s="5">
        <f t="shared" si="19"/>
        <v>172.85234899328859</v>
      </c>
      <c r="BA42" s="113">
        <f t="shared" si="23"/>
        <v>3500</v>
      </c>
      <c r="BB42" s="5">
        <f t="shared" si="23"/>
        <v>3500</v>
      </c>
    </row>
    <row r="43" spans="1:54" ht="15" hidden="1" customHeight="1" outlineLevel="2">
      <c r="A43" s="746"/>
      <c r="B43" s="747"/>
      <c r="C43" s="235" t="e">
        <f>'расчет по услугам'!#REF!</f>
        <v>#REF!</v>
      </c>
      <c r="D43" s="238" t="e">
        <f>'расчет по услугам'!#REF!</f>
        <v>#REF!</v>
      </c>
      <c r="E43" s="780" t="e">
        <f>'расчет по услугам'!#REF!</f>
        <v>#REF!</v>
      </c>
      <c r="F43" s="781"/>
      <c r="G43" s="249">
        <f>G42</f>
        <v>48</v>
      </c>
      <c r="H43" s="291" t="e">
        <f>#REF!/G43</f>
        <v>#REF!</v>
      </c>
      <c r="I43" s="249">
        <v>1</v>
      </c>
      <c r="J43" s="252">
        <v>90</v>
      </c>
      <c r="K43" s="278">
        <f t="shared" si="15"/>
        <v>0</v>
      </c>
      <c r="L43" s="782"/>
      <c r="M43" s="269"/>
      <c r="Q43" s="28" t="s">
        <v>217</v>
      </c>
      <c r="R43" s="760" t="s">
        <v>147</v>
      </c>
      <c r="S43" s="761"/>
      <c r="T43" s="116">
        <f>20/149*U43</f>
        <v>6.4429530201342278</v>
      </c>
      <c r="U43" s="27">
        <f>U42</f>
        <v>48</v>
      </c>
      <c r="V43" s="87">
        <f t="shared" si="20"/>
        <v>0.13422818791946309</v>
      </c>
      <c r="W43" s="77">
        <v>1</v>
      </c>
      <c r="X43" s="52">
        <v>90</v>
      </c>
      <c r="Y43" s="83">
        <f t="shared" si="16"/>
        <v>12.080536912751677</v>
      </c>
      <c r="AA43" s="88">
        <v>19</v>
      </c>
      <c r="AB43" s="28" t="s">
        <v>217</v>
      </c>
      <c r="AC43" s="760" t="s">
        <v>147</v>
      </c>
      <c r="AD43" s="761"/>
      <c r="AE43" s="116">
        <f>20/149*AF43</f>
        <v>13.557046979865772</v>
      </c>
      <c r="AF43" s="27">
        <f>AF42</f>
        <v>101</v>
      </c>
      <c r="AG43" s="114">
        <f t="shared" si="21"/>
        <v>0.13422818791946309</v>
      </c>
      <c r="AH43" s="77">
        <v>1</v>
      </c>
      <c r="AI43" s="52">
        <v>90</v>
      </c>
      <c r="AJ43" s="83">
        <f t="shared" si="17"/>
        <v>12.080536912751677</v>
      </c>
      <c r="AK43" s="778"/>
      <c r="AL43" s="118"/>
      <c r="AM43" s="119"/>
      <c r="AN43" s="53"/>
      <c r="AO43" s="783"/>
      <c r="AP43" s="784"/>
      <c r="AQ43" s="120"/>
      <c r="AR43" s="121"/>
      <c r="AS43" s="122"/>
      <c r="AT43" s="84"/>
      <c r="AU43" s="54"/>
      <c r="AV43" s="123"/>
      <c r="AW43" s="778"/>
      <c r="AX43" s="21"/>
      <c r="AY43" s="5">
        <f t="shared" si="19"/>
        <v>1220.1342281879195</v>
      </c>
      <c r="BA43" s="113">
        <f t="shared" si="23"/>
        <v>0</v>
      </c>
      <c r="BB43" s="5">
        <f t="shared" si="23"/>
        <v>0</v>
      </c>
    </row>
    <row r="44" spans="1:54" ht="30" hidden="1" customHeight="1" outlineLevel="2">
      <c r="A44" s="746"/>
      <c r="B44" s="747"/>
      <c r="C44" s="235" t="e">
        <f>'расчет по услугам'!#REF!</f>
        <v>#REF!</v>
      </c>
      <c r="D44" s="238" t="e">
        <f>'расчет по услугам'!#REF!</f>
        <v>#REF!</v>
      </c>
      <c r="E44" s="780"/>
      <c r="F44" s="781"/>
      <c r="G44" s="249">
        <f t="shared" ref="G44" si="30">G43</f>
        <v>48</v>
      </c>
      <c r="H44" s="291" t="e">
        <f>#REF!/G44</f>
        <v>#REF!</v>
      </c>
      <c r="I44" s="249">
        <v>1</v>
      </c>
      <c r="J44" s="252">
        <v>117.7</v>
      </c>
      <c r="K44" s="278">
        <f t="shared" si="15"/>
        <v>0</v>
      </c>
      <c r="L44" s="782"/>
      <c r="M44" s="269"/>
      <c r="Q44" s="28" t="s">
        <v>218</v>
      </c>
      <c r="R44" s="760" t="s">
        <v>147</v>
      </c>
      <c r="S44" s="761"/>
      <c r="T44" s="116">
        <f>10/149*U44</f>
        <v>3.2214765100671139</v>
      </c>
      <c r="U44" s="27">
        <f t="shared" ref="U44" si="31">U43</f>
        <v>48</v>
      </c>
      <c r="V44" s="87">
        <f t="shared" si="20"/>
        <v>6.7114093959731544E-2</v>
      </c>
      <c r="W44" s="77">
        <v>1</v>
      </c>
      <c r="X44" s="52">
        <v>117.7</v>
      </c>
      <c r="Y44" s="83">
        <f t="shared" si="16"/>
        <v>7.8993288590604029</v>
      </c>
      <c r="AA44" s="88">
        <v>20</v>
      </c>
      <c r="AB44" s="28" t="s">
        <v>218</v>
      </c>
      <c r="AC44" s="760" t="s">
        <v>147</v>
      </c>
      <c r="AD44" s="761"/>
      <c r="AE44" s="116">
        <f>10/149*AF44</f>
        <v>6.7785234899328861</v>
      </c>
      <c r="AF44" s="27">
        <f t="shared" ref="AF44" si="32">AF43</f>
        <v>101</v>
      </c>
      <c r="AG44" s="114">
        <f t="shared" si="21"/>
        <v>6.7114093959731544E-2</v>
      </c>
      <c r="AH44" s="77">
        <v>1</v>
      </c>
      <c r="AI44" s="52">
        <v>117.7</v>
      </c>
      <c r="AJ44" s="83">
        <f t="shared" si="17"/>
        <v>7.8993288590604029</v>
      </c>
      <c r="AK44" s="778"/>
      <c r="AL44" s="118"/>
      <c r="AM44" s="88">
        <v>20</v>
      </c>
      <c r="AN44" s="28" t="s">
        <v>219</v>
      </c>
      <c r="AO44" s="760" t="s">
        <v>142</v>
      </c>
      <c r="AP44" s="761"/>
      <c r="AQ44" s="117">
        <v>100</v>
      </c>
      <c r="AR44" s="27">
        <v>149</v>
      </c>
      <c r="AS44" s="114">
        <f t="shared" ref="AS44:AS48" si="33">AQ44/AR44</f>
        <v>0.67114093959731547</v>
      </c>
      <c r="AT44" s="77">
        <v>1</v>
      </c>
      <c r="AU44" s="52">
        <v>50</v>
      </c>
      <c r="AV44" s="83">
        <f t="shared" ref="AV44:AV48" si="34">IFERROR(AS44*AU44/AT44,0)</f>
        <v>33.557046979865774</v>
      </c>
      <c r="AW44" s="778"/>
      <c r="AX44" s="21"/>
      <c r="AY44" s="5">
        <f t="shared" si="19"/>
        <v>797.83221476510073</v>
      </c>
      <c r="BA44" s="113">
        <f t="shared" si="23"/>
        <v>5000</v>
      </c>
      <c r="BB44" s="5">
        <f t="shared" si="23"/>
        <v>5000</v>
      </c>
    </row>
    <row r="45" spans="1:54" ht="15" hidden="1" customHeight="1" outlineLevel="2">
      <c r="A45" s="746"/>
      <c r="B45" s="747"/>
      <c r="C45" s="235" t="e">
        <f>'расчет по услугам'!#REF!</f>
        <v>#REF!</v>
      </c>
      <c r="D45" s="238" t="e">
        <f>'расчет по услугам'!#REF!</f>
        <v>#REF!</v>
      </c>
      <c r="E45" s="780" t="e">
        <f>'расчет по услугам'!#REF!</f>
        <v>#REF!</v>
      </c>
      <c r="F45" s="781"/>
      <c r="G45" s="249">
        <v>48</v>
      </c>
      <c r="H45" s="291" t="e">
        <f>#REF!/G45</f>
        <v>#REF!</v>
      </c>
      <c r="I45" s="249">
        <v>1</v>
      </c>
      <c r="J45" s="252">
        <v>60</v>
      </c>
      <c r="K45" s="278">
        <f t="shared" si="15"/>
        <v>0</v>
      </c>
      <c r="L45" s="782"/>
      <c r="M45" s="269"/>
      <c r="Q45" s="28" t="s">
        <v>152</v>
      </c>
      <c r="R45" s="760" t="s">
        <v>142</v>
      </c>
      <c r="S45" s="761"/>
      <c r="T45" s="116">
        <f>310/149*U45</f>
        <v>99.865771812080538</v>
      </c>
      <c r="U45" s="27">
        <v>48</v>
      </c>
      <c r="V45" s="87">
        <f t="shared" si="20"/>
        <v>2.0805369127516777</v>
      </c>
      <c r="W45" s="77">
        <v>1</v>
      </c>
      <c r="X45" s="52">
        <v>60</v>
      </c>
      <c r="Y45" s="83">
        <f t="shared" si="16"/>
        <v>124.83221476510066</v>
      </c>
      <c r="AA45" s="88">
        <v>21</v>
      </c>
      <c r="AB45" s="28" t="s">
        <v>152</v>
      </c>
      <c r="AC45" s="760" t="s">
        <v>142</v>
      </c>
      <c r="AD45" s="761"/>
      <c r="AE45" s="116">
        <f>310/149*AF45</f>
        <v>210.13422818791946</v>
      </c>
      <c r="AF45" s="27">
        <v>101</v>
      </c>
      <c r="AG45" s="114">
        <f t="shared" si="21"/>
        <v>2.0805369127516777</v>
      </c>
      <c r="AH45" s="77">
        <v>1</v>
      </c>
      <c r="AI45" s="52">
        <v>60</v>
      </c>
      <c r="AJ45" s="83">
        <f t="shared" si="17"/>
        <v>124.83221476510066</v>
      </c>
      <c r="AK45" s="778"/>
      <c r="AL45" s="118"/>
      <c r="AM45" s="88">
        <v>21</v>
      </c>
      <c r="AN45" s="28" t="s">
        <v>220</v>
      </c>
      <c r="AO45" s="760" t="s">
        <v>142</v>
      </c>
      <c r="AP45" s="761"/>
      <c r="AQ45" s="116">
        <v>200</v>
      </c>
      <c r="AR45" s="27">
        <f t="shared" ref="AR45:AR47" si="35">AR44</f>
        <v>149</v>
      </c>
      <c r="AS45" s="114">
        <f t="shared" si="33"/>
        <v>1.3422818791946309</v>
      </c>
      <c r="AT45" s="77">
        <v>1</v>
      </c>
      <c r="AU45" s="52">
        <v>14</v>
      </c>
      <c r="AV45" s="83">
        <f t="shared" si="34"/>
        <v>18.791946308724832</v>
      </c>
      <c r="AW45" s="778"/>
      <c r="AX45" s="21"/>
      <c r="AY45" s="5">
        <f t="shared" si="19"/>
        <v>12608.053691275167</v>
      </c>
      <c r="BA45" s="113">
        <f t="shared" si="23"/>
        <v>2800</v>
      </c>
      <c r="BB45" s="5">
        <f t="shared" si="23"/>
        <v>2800</v>
      </c>
    </row>
    <row r="46" spans="1:54" ht="15" hidden="1" customHeight="1" outlineLevel="2">
      <c r="A46" s="746"/>
      <c r="B46" s="747"/>
      <c r="C46" s="235" t="e">
        <f>'расчет по услугам'!#REF!</f>
        <v>#REF!</v>
      </c>
      <c r="D46" s="238" t="e">
        <f>'расчет по услугам'!#REF!</f>
        <v>#REF!</v>
      </c>
      <c r="E46" s="780"/>
      <c r="F46" s="781"/>
      <c r="G46" s="249"/>
      <c r="H46" s="291"/>
      <c r="I46" s="249"/>
      <c r="J46" s="252"/>
      <c r="K46" s="278"/>
      <c r="L46" s="782"/>
      <c r="M46" s="269"/>
      <c r="Q46" s="28"/>
      <c r="R46" s="760"/>
      <c r="S46" s="761"/>
      <c r="T46" s="116"/>
      <c r="U46" s="27"/>
      <c r="V46" s="87"/>
      <c r="W46" s="77"/>
      <c r="X46" s="52"/>
      <c r="Y46" s="83"/>
      <c r="AA46" s="88"/>
      <c r="AB46" s="28"/>
      <c r="AC46" s="760"/>
      <c r="AD46" s="761"/>
      <c r="AE46" s="116"/>
      <c r="AF46" s="27"/>
      <c r="AG46" s="114"/>
      <c r="AH46" s="77"/>
      <c r="AI46" s="52"/>
      <c r="AJ46" s="83"/>
      <c r="AK46" s="778"/>
      <c r="AL46" s="118"/>
      <c r="AM46" s="88">
        <v>22</v>
      </c>
      <c r="AN46" s="28" t="s">
        <v>221</v>
      </c>
      <c r="AO46" s="760" t="s">
        <v>142</v>
      </c>
      <c r="AP46" s="761"/>
      <c r="AQ46" s="116">
        <v>120</v>
      </c>
      <c r="AR46" s="27">
        <f>AR45</f>
        <v>149</v>
      </c>
      <c r="AS46" s="114">
        <f t="shared" si="33"/>
        <v>0.80536912751677847</v>
      </c>
      <c r="AT46" s="77">
        <v>1</v>
      </c>
      <c r="AU46" s="52">
        <v>20</v>
      </c>
      <c r="AV46" s="83">
        <f t="shared" si="34"/>
        <v>16.107382550335569</v>
      </c>
      <c r="AW46" s="778"/>
      <c r="AX46" s="21"/>
      <c r="AY46" s="5">
        <f t="shared" si="19"/>
        <v>0</v>
      </c>
      <c r="BA46" s="113">
        <f t="shared" si="23"/>
        <v>2400</v>
      </c>
      <c r="BB46" s="5">
        <f t="shared" si="23"/>
        <v>2399.9999999999995</v>
      </c>
    </row>
    <row r="47" spans="1:54" ht="15" hidden="1" customHeight="1" outlineLevel="2">
      <c r="A47" s="746"/>
      <c r="B47" s="747"/>
      <c r="C47" s="235" t="e">
        <f>'расчет по услугам'!#REF!</f>
        <v>#REF!</v>
      </c>
      <c r="D47" s="235"/>
      <c r="E47" s="785"/>
      <c r="F47" s="785"/>
      <c r="G47" s="249"/>
      <c r="H47" s="291"/>
      <c r="I47" s="249"/>
      <c r="J47" s="252"/>
      <c r="K47" s="278"/>
      <c r="L47" s="782"/>
      <c r="M47" s="269"/>
      <c r="Q47" s="28"/>
      <c r="R47" s="760"/>
      <c r="S47" s="761"/>
      <c r="T47" s="116"/>
      <c r="U47" s="27"/>
      <c r="V47" s="87"/>
      <c r="W47" s="77"/>
      <c r="X47" s="52"/>
      <c r="Y47" s="83"/>
      <c r="AA47" s="88"/>
      <c r="AB47" s="28"/>
      <c r="AC47" s="760"/>
      <c r="AD47" s="761"/>
      <c r="AE47" s="116"/>
      <c r="AF47" s="27"/>
      <c r="AG47" s="114"/>
      <c r="AH47" s="77"/>
      <c r="AI47" s="52"/>
      <c r="AJ47" s="83"/>
      <c r="AK47" s="778"/>
      <c r="AL47" s="118"/>
      <c r="AM47" s="88">
        <v>23</v>
      </c>
      <c r="AN47" s="28" t="s">
        <v>222</v>
      </c>
      <c r="AO47" s="760" t="s">
        <v>142</v>
      </c>
      <c r="AP47" s="761"/>
      <c r="AQ47" s="116">
        <v>7</v>
      </c>
      <c r="AR47" s="27">
        <f t="shared" si="35"/>
        <v>149</v>
      </c>
      <c r="AS47" s="114">
        <f t="shared" si="33"/>
        <v>4.6979865771812082E-2</v>
      </c>
      <c r="AT47" s="77">
        <v>1</v>
      </c>
      <c r="AU47" s="52">
        <v>5000</v>
      </c>
      <c r="AV47" s="83">
        <f t="shared" si="34"/>
        <v>234.8993288590604</v>
      </c>
      <c r="AW47" s="778"/>
      <c r="AX47" s="21"/>
      <c r="AY47" s="5">
        <f t="shared" si="19"/>
        <v>0</v>
      </c>
      <c r="BA47" s="113">
        <f t="shared" si="23"/>
        <v>35000</v>
      </c>
      <c r="BB47" s="5">
        <f t="shared" si="23"/>
        <v>35000</v>
      </c>
    </row>
    <row r="48" spans="1:54" ht="15" hidden="1" customHeight="1" outlineLevel="2">
      <c r="A48" s="746"/>
      <c r="B48" s="747"/>
      <c r="C48" s="235" t="e">
        <f>'расчет по услугам'!#REF!</f>
        <v>#REF!</v>
      </c>
      <c r="D48" s="235"/>
      <c r="E48" s="785"/>
      <c r="F48" s="785"/>
      <c r="G48" s="249"/>
      <c r="H48" s="291"/>
      <c r="I48" s="249"/>
      <c r="J48" s="252"/>
      <c r="K48" s="278"/>
      <c r="L48" s="782"/>
      <c r="M48" s="269"/>
      <c r="Q48" s="28"/>
      <c r="R48" s="760"/>
      <c r="S48" s="761"/>
      <c r="T48" s="116"/>
      <c r="U48" s="27"/>
      <c r="V48" s="87"/>
      <c r="W48" s="77"/>
      <c r="X48" s="52"/>
      <c r="Y48" s="83"/>
      <c r="AA48" s="88"/>
      <c r="AB48" s="28"/>
      <c r="AC48" s="760"/>
      <c r="AD48" s="761"/>
      <c r="AE48" s="116"/>
      <c r="AF48" s="27"/>
      <c r="AG48" s="114"/>
      <c r="AH48" s="77"/>
      <c r="AI48" s="52"/>
      <c r="AJ48" s="83"/>
      <c r="AK48" s="778"/>
      <c r="AL48" s="118"/>
      <c r="AM48" s="88">
        <v>24</v>
      </c>
      <c r="AN48" s="28" t="s">
        <v>208</v>
      </c>
      <c r="AO48" s="760" t="s">
        <v>147</v>
      </c>
      <c r="AP48" s="761"/>
      <c r="AQ48" s="116">
        <v>120</v>
      </c>
      <c r="AR48" s="27">
        <v>149</v>
      </c>
      <c r="AS48" s="114">
        <f t="shared" si="33"/>
        <v>0.80536912751677847</v>
      </c>
      <c r="AT48" s="77">
        <v>1</v>
      </c>
      <c r="AU48" s="52">
        <v>50</v>
      </c>
      <c r="AV48" s="83">
        <f t="shared" si="34"/>
        <v>40.268456375838923</v>
      </c>
      <c r="AW48" s="778"/>
      <c r="AX48" s="21"/>
      <c r="AY48" s="5">
        <f t="shared" si="19"/>
        <v>0</v>
      </c>
      <c r="BA48" s="113">
        <f t="shared" si="23"/>
        <v>6000</v>
      </c>
      <c r="BB48" s="5">
        <f t="shared" si="23"/>
        <v>6000</v>
      </c>
    </row>
    <row r="49" spans="1:56" ht="15" hidden="1" customHeight="1" outlineLevel="2">
      <c r="A49" s="746"/>
      <c r="B49" s="747"/>
      <c r="C49" s="235" t="e">
        <f>'расчет по услугам'!#REF!</f>
        <v>#REF!</v>
      </c>
      <c r="D49" s="235"/>
      <c r="E49" s="785"/>
      <c r="F49" s="785"/>
      <c r="G49" s="249"/>
      <c r="H49" s="291"/>
      <c r="I49" s="249"/>
      <c r="J49" s="252"/>
      <c r="K49" s="278"/>
      <c r="L49" s="782"/>
      <c r="M49" s="269"/>
      <c r="Q49" s="28"/>
      <c r="R49" s="760"/>
      <c r="S49" s="761"/>
      <c r="T49" s="116"/>
      <c r="U49" s="27"/>
      <c r="V49" s="87"/>
      <c r="W49" s="77"/>
      <c r="X49" s="52"/>
      <c r="Y49" s="83"/>
      <c r="AA49" s="88"/>
      <c r="AB49" s="28"/>
      <c r="AC49" s="760"/>
      <c r="AD49" s="761"/>
      <c r="AE49" s="116"/>
      <c r="AF49" s="27"/>
      <c r="AG49" s="114"/>
      <c r="AH49" s="77"/>
      <c r="AI49" s="52"/>
      <c r="AJ49" s="83"/>
      <c r="AK49" s="778"/>
      <c r="AL49" s="118"/>
      <c r="AM49" s="88"/>
      <c r="AN49" s="28"/>
      <c r="AO49" s="760"/>
      <c r="AP49" s="761"/>
      <c r="AQ49" s="116"/>
      <c r="AR49" s="27"/>
      <c r="AS49" s="114"/>
      <c r="AT49" s="77"/>
      <c r="AU49" s="52"/>
      <c r="AV49" s="83"/>
      <c r="AW49" s="778"/>
      <c r="AX49" s="21"/>
      <c r="AY49" s="5">
        <f t="shared" si="19"/>
        <v>0</v>
      </c>
      <c r="BA49" s="113"/>
      <c r="BB49" s="5">
        <f t="shared" si="23"/>
        <v>0</v>
      </c>
    </row>
    <row r="50" spans="1:56" ht="15.75" hidden="1" customHeight="1" outlineLevel="2" thickBot="1">
      <c r="A50" s="746"/>
      <c r="B50" s="747"/>
      <c r="C50" s="235" t="e">
        <f>'расчет по услугам'!#REF!</f>
        <v>#REF!</v>
      </c>
      <c r="D50" s="235"/>
      <c r="E50" s="785"/>
      <c r="F50" s="785"/>
      <c r="G50" s="249"/>
      <c r="H50" s="291"/>
      <c r="I50" s="249"/>
      <c r="J50" s="252"/>
      <c r="K50" s="278"/>
      <c r="L50" s="782"/>
      <c r="M50" s="269"/>
      <c r="Q50" s="28"/>
      <c r="R50" s="760"/>
      <c r="S50" s="761"/>
      <c r="T50" s="116"/>
      <c r="U50" s="27"/>
      <c r="V50" s="87"/>
      <c r="W50" s="77"/>
      <c r="X50" s="52"/>
      <c r="Y50" s="83"/>
      <c r="AA50" s="88"/>
      <c r="AB50" s="28"/>
      <c r="AC50" s="760"/>
      <c r="AD50" s="761"/>
      <c r="AE50" s="116"/>
      <c r="AF50" s="27"/>
      <c r="AG50" s="114"/>
      <c r="AH50" s="77"/>
      <c r="AI50" s="52"/>
      <c r="AJ50" s="83"/>
      <c r="AK50" s="778"/>
      <c r="AL50" s="118"/>
      <c r="AM50" s="88"/>
      <c r="AN50" s="28"/>
      <c r="AO50" s="760"/>
      <c r="AP50" s="761"/>
      <c r="AQ50" s="116"/>
      <c r="AR50" s="27"/>
      <c r="AS50" s="114"/>
      <c r="AT50" s="77"/>
      <c r="AU50" s="52"/>
      <c r="AV50" s="83"/>
      <c r="AW50" s="778"/>
      <c r="AX50" s="21"/>
      <c r="AY50" s="5">
        <f t="shared" si="19"/>
        <v>0</v>
      </c>
      <c r="BA50" s="113">
        <f t="shared" si="23"/>
        <v>0</v>
      </c>
      <c r="BB50" s="5">
        <f t="shared" si="23"/>
        <v>0</v>
      </c>
    </row>
    <row r="51" spans="1:56" ht="15" hidden="1" customHeight="1" outlineLevel="2" thickBot="1">
      <c r="A51" s="746"/>
      <c r="B51" s="747"/>
      <c r="C51" s="786"/>
      <c r="D51" s="786"/>
      <c r="E51" s="786"/>
      <c r="F51" s="786"/>
      <c r="G51" s="786"/>
      <c r="H51" s="786"/>
      <c r="I51" s="786"/>
      <c r="J51" s="786"/>
      <c r="K51" s="247">
        <f>SUM(K25:K50)</f>
        <v>0</v>
      </c>
      <c r="L51" s="782"/>
      <c r="M51" s="270"/>
      <c r="Q51" s="68"/>
      <c r="R51" s="68"/>
      <c r="S51" s="68"/>
      <c r="T51" s="68"/>
      <c r="U51" s="68"/>
      <c r="V51" s="125"/>
      <c r="W51" s="68"/>
      <c r="X51" s="68"/>
      <c r="Y51" s="92">
        <f>SUM(Y25:Y50)</f>
        <v>872.49664429530196</v>
      </c>
      <c r="AA51" s="787" t="s">
        <v>43</v>
      </c>
      <c r="AB51" s="788"/>
      <c r="AC51" s="788"/>
      <c r="AD51" s="788"/>
      <c r="AE51" s="788"/>
      <c r="AF51" s="788"/>
      <c r="AG51" s="788"/>
      <c r="AH51" s="788"/>
      <c r="AI51" s="789"/>
      <c r="AJ51" s="92">
        <f>SUM(AJ25:AJ50)</f>
        <v>872.49664429530196</v>
      </c>
      <c r="AK51" s="779"/>
      <c r="AL51" s="124"/>
      <c r="AM51" s="787" t="s">
        <v>43</v>
      </c>
      <c r="AN51" s="788"/>
      <c r="AO51" s="788"/>
      <c r="AP51" s="788"/>
      <c r="AQ51" s="788"/>
      <c r="AR51" s="788"/>
      <c r="AS51" s="788"/>
      <c r="AT51" s="788"/>
      <c r="AU51" s="789"/>
      <c r="AV51" s="92">
        <f>SUM(AV25:AV50)</f>
        <v>950.63758389261739</v>
      </c>
      <c r="AW51" s="779"/>
      <c r="AX51" s="21"/>
      <c r="AY51" s="126">
        <f>SUM(AY25:AY50)</f>
        <v>88122.161073825511</v>
      </c>
      <c r="AZ51" s="5">
        <v>130002</v>
      </c>
      <c r="BA51" s="127">
        <f>SUM(BA25:BA50)</f>
        <v>141645</v>
      </c>
      <c r="BB51" s="5">
        <f>SUM(BB25:BB50)</f>
        <v>141645</v>
      </c>
      <c r="BC51" s="77"/>
      <c r="BD51" s="51"/>
    </row>
    <row r="52" spans="1:56" s="39" customFormat="1" ht="15.75" hidden="1" customHeight="1" outlineLevel="2" thickBot="1">
      <c r="A52" s="746"/>
      <c r="B52" s="747"/>
      <c r="C52" s="293"/>
      <c r="D52" s="293"/>
      <c r="E52" s="293"/>
      <c r="F52" s="293"/>
      <c r="G52" s="293"/>
      <c r="H52" s="293"/>
      <c r="I52" s="293"/>
      <c r="J52" s="293"/>
      <c r="K52" s="283"/>
      <c r="L52" s="238"/>
      <c r="M52" s="271"/>
      <c r="P52" s="68"/>
      <c r="Q52" s="131"/>
      <c r="R52" s="131"/>
      <c r="S52" s="131"/>
      <c r="T52" s="131"/>
      <c r="U52" s="131"/>
      <c r="V52" s="132"/>
      <c r="W52" s="131"/>
      <c r="X52" s="133"/>
      <c r="Y52" s="128"/>
      <c r="AA52" s="134"/>
      <c r="AB52" s="131"/>
      <c r="AC52" s="131"/>
      <c r="AD52" s="131"/>
      <c r="AE52" s="131"/>
      <c r="AF52" s="131"/>
      <c r="AG52" s="131"/>
      <c r="AH52" s="131"/>
      <c r="AI52" s="133"/>
      <c r="AJ52" s="128"/>
      <c r="AK52" s="129"/>
      <c r="AL52" s="130"/>
      <c r="AM52" s="134"/>
      <c r="AN52" s="131"/>
      <c r="AO52" s="131"/>
      <c r="AP52" s="131"/>
      <c r="AQ52" s="131"/>
      <c r="AR52" s="131"/>
      <c r="AS52" s="131"/>
      <c r="AT52" s="131"/>
      <c r="AU52" s="133"/>
      <c r="AV52" s="128"/>
      <c r="AW52" s="129"/>
      <c r="AX52" s="135"/>
      <c r="AZ52" s="39">
        <f>AY51-AZ51</f>
        <v>-41879.838926174489</v>
      </c>
      <c r="BA52" s="136"/>
      <c r="BC52" s="84"/>
    </row>
    <row r="53" spans="1:56" ht="45" customHeight="1" collapsed="1">
      <c r="A53" s="746"/>
      <c r="B53" s="747"/>
      <c r="C53" s="749" t="s">
        <v>8</v>
      </c>
      <c r="D53" s="749"/>
      <c r="E53" s="749"/>
      <c r="F53" s="749"/>
      <c r="G53" s="749"/>
      <c r="H53" s="749"/>
      <c r="I53" s="749"/>
      <c r="J53" s="749"/>
      <c r="K53" s="749"/>
      <c r="L53" s="749"/>
      <c r="M53" s="82"/>
      <c r="Q53" s="68"/>
      <c r="R53" s="68"/>
      <c r="S53" s="68"/>
      <c r="T53" s="68"/>
      <c r="U53" s="68"/>
      <c r="V53" s="125"/>
      <c r="W53" s="68"/>
      <c r="X53" s="68"/>
      <c r="Y53" s="68"/>
      <c r="AA53" s="750" t="s">
        <v>8</v>
      </c>
      <c r="AB53" s="751"/>
      <c r="AC53" s="751"/>
      <c r="AD53" s="751"/>
      <c r="AE53" s="751"/>
      <c r="AF53" s="751"/>
      <c r="AG53" s="751"/>
      <c r="AH53" s="751"/>
      <c r="AI53" s="751"/>
      <c r="AJ53" s="751"/>
      <c r="AK53" s="752"/>
      <c r="AL53" s="82"/>
      <c r="AM53" s="750" t="s">
        <v>8</v>
      </c>
      <c r="AN53" s="751"/>
      <c r="AO53" s="751"/>
      <c r="AP53" s="751"/>
      <c r="AQ53" s="751"/>
      <c r="AR53" s="751"/>
      <c r="AS53" s="751"/>
      <c r="AT53" s="751"/>
      <c r="AU53" s="751"/>
      <c r="AV53" s="751"/>
      <c r="AW53" s="752"/>
      <c r="AX53" s="19"/>
    </row>
    <row r="54" spans="1:56" ht="26.25" customHeight="1" outlineLevel="2">
      <c r="A54" s="746"/>
      <c r="B54" s="747"/>
      <c r="C54" s="294" t="e">
        <f>'расчет по услугам'!#REF!</f>
        <v>#REF!</v>
      </c>
      <c r="D54" s="238" t="s">
        <v>223</v>
      </c>
      <c r="E54" s="790" t="e">
        <f>'расчет по услугам'!#REF!</f>
        <v>#REF!</v>
      </c>
      <c r="F54" s="790"/>
      <c r="G54" s="249">
        <f>G14</f>
        <v>48</v>
      </c>
      <c r="H54" s="295" t="e">
        <f>#REF!/G54</f>
        <v>#REF!</v>
      </c>
      <c r="I54" s="249">
        <v>1</v>
      </c>
      <c r="J54" s="252">
        <v>3375</v>
      </c>
      <c r="K54" s="280">
        <f t="shared" ref="K54:K66" si="36">IFERROR(H54*J54/I54,0)</f>
        <v>0</v>
      </c>
      <c r="L54" s="296"/>
      <c r="M54" s="272"/>
      <c r="Q54" s="139" t="s">
        <v>101</v>
      </c>
      <c r="R54" s="791" t="s">
        <v>223</v>
      </c>
      <c r="S54" s="792"/>
      <c r="T54" s="140">
        <f>16/149*U54</f>
        <v>5.1543624161073822</v>
      </c>
      <c r="U54" s="27">
        <f>U14</f>
        <v>48</v>
      </c>
      <c r="V54" s="87">
        <f t="shared" ref="V54:V66" si="37">T54/U54</f>
        <v>0.10738255033557047</v>
      </c>
      <c r="W54" s="77">
        <v>1</v>
      </c>
      <c r="X54" s="52">
        <v>3375</v>
      </c>
      <c r="Y54" s="89">
        <f t="shared" ref="Y54:Y66" si="38">IFERROR(V54*X54/W54,0)</f>
        <v>362.41610738255031</v>
      </c>
      <c r="AA54" s="88">
        <v>1</v>
      </c>
      <c r="AB54" s="139" t="s">
        <v>101</v>
      </c>
      <c r="AC54" s="791" t="s">
        <v>223</v>
      </c>
      <c r="AD54" s="792"/>
      <c r="AE54" s="140">
        <f>16/149*AF54</f>
        <v>10.845637583892618</v>
      </c>
      <c r="AF54" s="27">
        <f>AF14</f>
        <v>101</v>
      </c>
      <c r="AG54" s="137">
        <f t="shared" ref="AG54:AG66" si="39">AE54/AF54</f>
        <v>0.10738255033557047</v>
      </c>
      <c r="AH54" s="77">
        <v>1</v>
      </c>
      <c r="AI54" s="52">
        <v>3375</v>
      </c>
      <c r="AJ54" s="89">
        <f t="shared" ref="AJ54:AJ66" si="40">IFERROR(AG54*AI54/AH54,0)</f>
        <v>362.41610738255031</v>
      </c>
      <c r="AK54" s="25"/>
      <c r="AL54" s="138"/>
      <c r="AM54" s="88"/>
      <c r="AN54" s="139"/>
      <c r="AO54" s="791"/>
      <c r="AP54" s="792"/>
      <c r="AQ54" s="140"/>
      <c r="AR54" s="27"/>
      <c r="AS54" s="137"/>
      <c r="AT54" s="77"/>
      <c r="AU54" s="52"/>
      <c r="AV54" s="89"/>
      <c r="AW54" s="25"/>
      <c r="AX54" s="22"/>
      <c r="AY54" s="5">
        <f>AJ54*AF54</f>
        <v>36604.026845637578</v>
      </c>
    </row>
    <row r="55" spans="1:56" ht="30" hidden="1" customHeight="1" outlineLevel="2">
      <c r="A55" s="746"/>
      <c r="B55" s="747"/>
      <c r="C55" s="297"/>
      <c r="D55" s="238"/>
      <c r="E55" s="790"/>
      <c r="F55" s="790"/>
      <c r="G55" s="249">
        <f>G15</f>
        <v>48</v>
      </c>
      <c r="H55" s="295" t="e">
        <f>#REF!/G55</f>
        <v>#REF!</v>
      </c>
      <c r="I55" s="249">
        <v>1</v>
      </c>
      <c r="J55" s="252">
        <v>9385.7139999999999</v>
      </c>
      <c r="K55" s="280">
        <f t="shared" si="36"/>
        <v>0</v>
      </c>
      <c r="L55" s="296"/>
      <c r="M55" s="272"/>
      <c r="Q55" s="141" t="s">
        <v>103</v>
      </c>
      <c r="R55" s="791" t="s">
        <v>223</v>
      </c>
      <c r="S55" s="792"/>
      <c r="T55" s="140">
        <f>7/149*U55</f>
        <v>2.2550335570469802</v>
      </c>
      <c r="U55" s="27">
        <f>U15</f>
        <v>48</v>
      </c>
      <c r="V55" s="87">
        <f t="shared" si="37"/>
        <v>4.6979865771812089E-2</v>
      </c>
      <c r="W55" s="77">
        <v>1</v>
      </c>
      <c r="X55" s="52">
        <v>9385.7139999999999</v>
      </c>
      <c r="Y55" s="89">
        <f t="shared" si="38"/>
        <v>440.93958389261752</v>
      </c>
      <c r="AA55" s="88">
        <v>2</v>
      </c>
      <c r="AB55" s="141" t="s">
        <v>103</v>
      </c>
      <c r="AC55" s="791" t="s">
        <v>223</v>
      </c>
      <c r="AD55" s="792"/>
      <c r="AE55" s="140">
        <f>7/149*AF55</f>
        <v>4.7449664429530207</v>
      </c>
      <c r="AF55" s="27">
        <f>AF15</f>
        <v>101</v>
      </c>
      <c r="AG55" s="137">
        <f t="shared" si="39"/>
        <v>4.6979865771812089E-2</v>
      </c>
      <c r="AH55" s="77">
        <v>1</v>
      </c>
      <c r="AI55" s="52">
        <v>9385.7139999999999</v>
      </c>
      <c r="AJ55" s="89">
        <f t="shared" si="40"/>
        <v>440.93958389261752</v>
      </c>
      <c r="AK55" s="25"/>
      <c r="AL55" s="138"/>
      <c r="AM55" s="88"/>
      <c r="AN55" s="141"/>
      <c r="AO55" s="791"/>
      <c r="AP55" s="792"/>
      <c r="AQ55" s="140"/>
      <c r="AR55" s="27"/>
      <c r="AS55" s="137"/>
      <c r="AT55" s="77"/>
      <c r="AU55" s="52"/>
      <c r="AV55" s="89"/>
      <c r="AW55" s="25"/>
      <c r="AX55" s="22"/>
      <c r="AY55" s="38">
        <f>AJ55*AF55</f>
        <v>44534.897973154366</v>
      </c>
    </row>
    <row r="56" spans="1:56" ht="30" hidden="1" customHeight="1" outlineLevel="2">
      <c r="A56" s="746"/>
      <c r="B56" s="747"/>
      <c r="C56" s="297"/>
      <c r="D56" s="292"/>
      <c r="E56" s="790"/>
      <c r="F56" s="790"/>
      <c r="G56" s="249">
        <f t="shared" ref="G56" si="41">G17</f>
        <v>48</v>
      </c>
      <c r="H56" s="295" t="e">
        <f>#REF!/G56</f>
        <v>#REF!</v>
      </c>
      <c r="I56" s="249">
        <v>1</v>
      </c>
      <c r="J56" s="252">
        <v>5000</v>
      </c>
      <c r="K56" s="280">
        <f t="shared" si="36"/>
        <v>0</v>
      </c>
      <c r="L56" s="296"/>
      <c r="M56" s="272"/>
      <c r="Q56" s="139" t="s">
        <v>224</v>
      </c>
      <c r="R56" s="791" t="s">
        <v>53</v>
      </c>
      <c r="S56" s="792"/>
      <c r="T56" s="140">
        <f>1/149*U56</f>
        <v>0.32214765100671139</v>
      </c>
      <c r="U56" s="27">
        <f t="shared" ref="U56" si="42">U17</f>
        <v>48</v>
      </c>
      <c r="V56" s="87">
        <f t="shared" si="37"/>
        <v>6.7114093959731542E-3</v>
      </c>
      <c r="W56" s="77">
        <v>1</v>
      </c>
      <c r="X56" s="52">
        <v>5000</v>
      </c>
      <c r="Y56" s="89">
        <f t="shared" si="38"/>
        <v>33.557046979865774</v>
      </c>
      <c r="AA56" s="88">
        <v>3</v>
      </c>
      <c r="AB56" s="139" t="s">
        <v>224</v>
      </c>
      <c r="AC56" s="791" t="s">
        <v>53</v>
      </c>
      <c r="AD56" s="792"/>
      <c r="AE56" s="140">
        <f>1/149*AF56</f>
        <v>0.67785234899328861</v>
      </c>
      <c r="AF56" s="27">
        <f t="shared" ref="AF56" si="43">AF17</f>
        <v>101</v>
      </c>
      <c r="AG56" s="137">
        <f t="shared" si="39"/>
        <v>6.7114093959731542E-3</v>
      </c>
      <c r="AH56" s="77">
        <v>1</v>
      </c>
      <c r="AI56" s="52">
        <v>5000</v>
      </c>
      <c r="AJ56" s="89">
        <f t="shared" si="40"/>
        <v>33.557046979865774</v>
      </c>
      <c r="AK56" s="25"/>
      <c r="AL56" s="138"/>
      <c r="AM56" s="88"/>
      <c r="AN56" s="139"/>
      <c r="AO56" s="791"/>
      <c r="AP56" s="792"/>
      <c r="AQ56" s="140"/>
      <c r="AR56" s="27"/>
      <c r="AS56" s="137"/>
      <c r="AT56" s="77"/>
      <c r="AU56" s="52"/>
      <c r="AV56" s="89"/>
      <c r="AW56" s="25"/>
      <c r="AX56" s="22"/>
      <c r="AY56" s="5">
        <f t="shared" ref="AY56:AY66" si="44">AJ56*AF56</f>
        <v>3389.2617449664431</v>
      </c>
    </row>
    <row r="57" spans="1:56" ht="15" hidden="1" customHeight="1" outlineLevel="2">
      <c r="A57" s="746"/>
      <c r="B57" s="747"/>
      <c r="C57" s="298"/>
      <c r="D57" s="298"/>
      <c r="E57" s="298"/>
      <c r="F57" s="299"/>
      <c r="G57" s="249">
        <f>G14</f>
        <v>48</v>
      </c>
      <c r="H57" s="299" t="e">
        <f>#REF!/G57</f>
        <v>#REF!</v>
      </c>
      <c r="I57" s="249">
        <v>1</v>
      </c>
      <c r="J57" s="252">
        <v>7000</v>
      </c>
      <c r="K57" s="280">
        <f t="shared" si="36"/>
        <v>0</v>
      </c>
      <c r="L57" s="296"/>
      <c r="M57" s="272"/>
      <c r="Q57" s="142"/>
      <c r="R57" s="29"/>
      <c r="S57" s="26"/>
      <c r="T57" s="140">
        <v>0.4</v>
      </c>
      <c r="U57" s="27">
        <f>U14</f>
        <v>48</v>
      </c>
      <c r="V57" s="87">
        <f t="shared" si="37"/>
        <v>8.3333333333333332E-3</v>
      </c>
      <c r="W57" s="77">
        <v>1</v>
      </c>
      <c r="X57" s="52">
        <v>7000</v>
      </c>
      <c r="Y57" s="89">
        <f t="shared" si="38"/>
        <v>58.333333333333336</v>
      </c>
      <c r="AA57" s="88">
        <v>8</v>
      </c>
      <c r="AB57" s="142"/>
      <c r="AC57" s="29"/>
      <c r="AD57" s="26"/>
      <c r="AE57" s="140">
        <v>0.4</v>
      </c>
      <c r="AF57" s="27">
        <f>AF14</f>
        <v>101</v>
      </c>
      <c r="AG57" s="26">
        <f t="shared" si="39"/>
        <v>3.9603960396039604E-3</v>
      </c>
      <c r="AH57" s="77">
        <v>1</v>
      </c>
      <c r="AI57" s="52">
        <v>7000</v>
      </c>
      <c r="AJ57" s="89">
        <f t="shared" si="40"/>
        <v>27.722772277227723</v>
      </c>
      <c r="AK57" s="25"/>
      <c r="AL57" s="138"/>
      <c r="AM57" s="88">
        <v>8</v>
      </c>
      <c r="AN57" s="142"/>
      <c r="AO57" s="29"/>
      <c r="AP57" s="26"/>
      <c r="AQ57" s="140">
        <v>0.4</v>
      </c>
      <c r="AR57" s="27">
        <f>AR14</f>
        <v>0</v>
      </c>
      <c r="AS57" s="26" t="e">
        <f t="shared" ref="AS57:AS66" si="45">AQ57/AR57</f>
        <v>#DIV/0!</v>
      </c>
      <c r="AT57" s="77">
        <v>1</v>
      </c>
      <c r="AU57" s="52">
        <v>7000</v>
      </c>
      <c r="AV57" s="89">
        <f t="shared" ref="AV57:AV66" si="46">IFERROR(AS57*AU57/AT57,0)</f>
        <v>0</v>
      </c>
      <c r="AW57" s="25"/>
      <c r="AX57" s="22"/>
      <c r="AY57" s="5">
        <f t="shared" si="44"/>
        <v>2800</v>
      </c>
    </row>
    <row r="58" spans="1:56" ht="15" hidden="1" customHeight="1" outlineLevel="2">
      <c r="A58" s="746"/>
      <c r="B58" s="747"/>
      <c r="C58" s="298"/>
      <c r="D58" s="298"/>
      <c r="E58" s="298"/>
      <c r="F58" s="299"/>
      <c r="G58" s="249">
        <f>G14</f>
        <v>48</v>
      </c>
      <c r="H58" s="299" t="e">
        <f>#REF!/G58</f>
        <v>#REF!</v>
      </c>
      <c r="I58" s="249">
        <v>1</v>
      </c>
      <c r="J58" s="252">
        <v>7000</v>
      </c>
      <c r="K58" s="280">
        <f t="shared" si="36"/>
        <v>0</v>
      </c>
      <c r="L58" s="800"/>
      <c r="M58" s="268"/>
      <c r="Q58" s="142"/>
      <c r="R58" s="29"/>
      <c r="S58" s="26"/>
      <c r="T58" s="140">
        <v>0.4</v>
      </c>
      <c r="U58" s="27">
        <f>U14</f>
        <v>48</v>
      </c>
      <c r="V58" s="87">
        <f t="shared" si="37"/>
        <v>8.3333333333333332E-3</v>
      </c>
      <c r="W58" s="77">
        <v>1</v>
      </c>
      <c r="X58" s="52">
        <v>7000</v>
      </c>
      <c r="Y58" s="89">
        <f t="shared" si="38"/>
        <v>58.333333333333336</v>
      </c>
      <c r="AA58" s="88">
        <v>9</v>
      </c>
      <c r="AB58" s="142"/>
      <c r="AC58" s="29"/>
      <c r="AD58" s="26"/>
      <c r="AE58" s="140">
        <v>0.4</v>
      </c>
      <c r="AF58" s="27">
        <f>AF14</f>
        <v>101</v>
      </c>
      <c r="AG58" s="26">
        <f t="shared" si="39"/>
        <v>3.9603960396039604E-3</v>
      </c>
      <c r="AH58" s="77">
        <v>1</v>
      </c>
      <c r="AI58" s="52">
        <v>7000</v>
      </c>
      <c r="AJ58" s="89">
        <f t="shared" si="40"/>
        <v>27.722772277227723</v>
      </c>
      <c r="AK58" s="793"/>
      <c r="AL58" s="115"/>
      <c r="AM58" s="88">
        <v>9</v>
      </c>
      <c r="AN58" s="142"/>
      <c r="AO58" s="29"/>
      <c r="AP58" s="26"/>
      <c r="AQ58" s="140">
        <v>0.4</v>
      </c>
      <c r="AR58" s="27">
        <f>AR14</f>
        <v>0</v>
      </c>
      <c r="AS58" s="26" t="e">
        <f t="shared" si="45"/>
        <v>#DIV/0!</v>
      </c>
      <c r="AT58" s="77">
        <v>1</v>
      </c>
      <c r="AU58" s="52">
        <v>7000</v>
      </c>
      <c r="AV58" s="89">
        <f t="shared" si="46"/>
        <v>0</v>
      </c>
      <c r="AW58" s="793" t="s">
        <v>62</v>
      </c>
      <c r="AX58" s="22"/>
      <c r="AY58" s="5">
        <f t="shared" si="44"/>
        <v>2800</v>
      </c>
    </row>
    <row r="59" spans="1:56" ht="15" hidden="1" customHeight="1" outlineLevel="2">
      <c r="A59" s="746"/>
      <c r="B59" s="747"/>
      <c r="C59" s="298"/>
      <c r="D59" s="298"/>
      <c r="E59" s="298"/>
      <c r="F59" s="299"/>
      <c r="G59" s="249">
        <f>G15</f>
        <v>48</v>
      </c>
      <c r="H59" s="299" t="e">
        <f>#REF!/G59</f>
        <v>#REF!</v>
      </c>
      <c r="I59" s="249">
        <v>1</v>
      </c>
      <c r="J59" s="252">
        <v>7000</v>
      </c>
      <c r="K59" s="280">
        <f t="shared" si="36"/>
        <v>0</v>
      </c>
      <c r="L59" s="800"/>
      <c r="M59" s="269"/>
      <c r="Q59" s="142"/>
      <c r="R59" s="29"/>
      <c r="S59" s="26"/>
      <c r="T59" s="140">
        <v>0.4</v>
      </c>
      <c r="U59" s="27">
        <f>U15</f>
        <v>48</v>
      </c>
      <c r="V59" s="87">
        <f t="shared" si="37"/>
        <v>8.3333333333333332E-3</v>
      </c>
      <c r="W59" s="77">
        <v>1</v>
      </c>
      <c r="X59" s="52">
        <v>7000</v>
      </c>
      <c r="Y59" s="89">
        <f t="shared" si="38"/>
        <v>58.333333333333336</v>
      </c>
      <c r="AA59" s="88">
        <v>10</v>
      </c>
      <c r="AB59" s="142"/>
      <c r="AC59" s="29"/>
      <c r="AD59" s="26"/>
      <c r="AE59" s="140">
        <v>0.4</v>
      </c>
      <c r="AF59" s="27">
        <f>AF15</f>
        <v>101</v>
      </c>
      <c r="AG59" s="26">
        <f t="shared" si="39"/>
        <v>3.9603960396039604E-3</v>
      </c>
      <c r="AH59" s="77">
        <v>1</v>
      </c>
      <c r="AI59" s="52">
        <v>7000</v>
      </c>
      <c r="AJ59" s="89">
        <f t="shared" si="40"/>
        <v>27.722772277227723</v>
      </c>
      <c r="AK59" s="794"/>
      <c r="AL59" s="118"/>
      <c r="AM59" s="88">
        <v>10</v>
      </c>
      <c r="AN59" s="142"/>
      <c r="AO59" s="29"/>
      <c r="AP59" s="26"/>
      <c r="AQ59" s="140">
        <v>0.4</v>
      </c>
      <c r="AR59" s="27">
        <f>AR15</f>
        <v>0</v>
      </c>
      <c r="AS59" s="26" t="e">
        <f t="shared" si="45"/>
        <v>#DIV/0!</v>
      </c>
      <c r="AT59" s="77">
        <v>1</v>
      </c>
      <c r="AU59" s="52">
        <v>7000</v>
      </c>
      <c r="AV59" s="89">
        <f t="shared" si="46"/>
        <v>0</v>
      </c>
      <c r="AW59" s="794"/>
      <c r="AX59" s="22"/>
      <c r="AY59" s="5">
        <f t="shared" si="44"/>
        <v>2800</v>
      </c>
    </row>
    <row r="60" spans="1:56" ht="15" hidden="1" customHeight="1" outlineLevel="2">
      <c r="A60" s="746"/>
      <c r="B60" s="747"/>
      <c r="C60" s="298"/>
      <c r="D60" s="298"/>
      <c r="E60" s="298"/>
      <c r="F60" s="299"/>
      <c r="G60" s="249">
        <f>G17</f>
        <v>48</v>
      </c>
      <c r="H60" s="299" t="e">
        <f>#REF!/G60</f>
        <v>#REF!</v>
      </c>
      <c r="I60" s="249">
        <v>1</v>
      </c>
      <c r="J60" s="252">
        <v>7000</v>
      </c>
      <c r="K60" s="280">
        <f t="shared" si="36"/>
        <v>0</v>
      </c>
      <c r="L60" s="800"/>
      <c r="M60" s="269"/>
      <c r="Q60" s="142"/>
      <c r="R60" s="29"/>
      <c r="S60" s="26"/>
      <c r="T60" s="140">
        <v>0.4</v>
      </c>
      <c r="U60" s="27">
        <f>U17</f>
        <v>48</v>
      </c>
      <c r="V60" s="87">
        <f t="shared" si="37"/>
        <v>8.3333333333333332E-3</v>
      </c>
      <c r="W60" s="77">
        <v>1</v>
      </c>
      <c r="X60" s="52">
        <v>7000</v>
      </c>
      <c r="Y60" s="89">
        <f t="shared" si="38"/>
        <v>58.333333333333336</v>
      </c>
      <c r="AA60" s="88">
        <v>11</v>
      </c>
      <c r="AB60" s="142"/>
      <c r="AC60" s="29"/>
      <c r="AD60" s="26"/>
      <c r="AE60" s="140">
        <v>0.4</v>
      </c>
      <c r="AF60" s="27">
        <f>AF17</f>
        <v>101</v>
      </c>
      <c r="AG60" s="26">
        <f t="shared" si="39"/>
        <v>3.9603960396039604E-3</v>
      </c>
      <c r="AH60" s="77">
        <v>1</v>
      </c>
      <c r="AI60" s="52">
        <v>7000</v>
      </c>
      <c r="AJ60" s="89">
        <f t="shared" si="40"/>
        <v>27.722772277227723</v>
      </c>
      <c r="AK60" s="794"/>
      <c r="AL60" s="118"/>
      <c r="AM60" s="88">
        <v>11</v>
      </c>
      <c r="AN60" s="142"/>
      <c r="AO60" s="29"/>
      <c r="AP60" s="26"/>
      <c r="AQ60" s="140">
        <v>0.4</v>
      </c>
      <c r="AR60" s="27">
        <f>AR17</f>
        <v>0</v>
      </c>
      <c r="AS60" s="26" t="e">
        <f t="shared" si="45"/>
        <v>#DIV/0!</v>
      </c>
      <c r="AT60" s="77">
        <v>1</v>
      </c>
      <c r="AU60" s="52">
        <v>7000</v>
      </c>
      <c r="AV60" s="89">
        <f t="shared" si="46"/>
        <v>0</v>
      </c>
      <c r="AW60" s="794"/>
      <c r="AX60" s="22"/>
      <c r="AY60" s="5">
        <f t="shared" si="44"/>
        <v>2800</v>
      </c>
    </row>
    <row r="61" spans="1:56" ht="15" hidden="1" customHeight="1" outlineLevel="2">
      <c r="A61" s="746"/>
      <c r="B61" s="747"/>
      <c r="C61" s="298"/>
      <c r="D61" s="298"/>
      <c r="E61" s="298"/>
      <c r="F61" s="299"/>
      <c r="G61" s="249">
        <f>G18</f>
        <v>48</v>
      </c>
      <c r="H61" s="299" t="e">
        <f>#REF!/G61</f>
        <v>#REF!</v>
      </c>
      <c r="I61" s="249">
        <v>1</v>
      </c>
      <c r="J61" s="252">
        <v>7000</v>
      </c>
      <c r="K61" s="280">
        <f t="shared" si="36"/>
        <v>0</v>
      </c>
      <c r="L61" s="800"/>
      <c r="M61" s="269"/>
      <c r="Q61" s="142"/>
      <c r="R61" s="29"/>
      <c r="S61" s="26"/>
      <c r="T61" s="140">
        <v>0.4</v>
      </c>
      <c r="U61" s="27">
        <f>U18</f>
        <v>48</v>
      </c>
      <c r="V61" s="87">
        <f t="shared" si="37"/>
        <v>8.3333333333333332E-3</v>
      </c>
      <c r="W61" s="77">
        <v>1</v>
      </c>
      <c r="X61" s="52">
        <v>7000</v>
      </c>
      <c r="Y61" s="89">
        <f t="shared" si="38"/>
        <v>58.333333333333336</v>
      </c>
      <c r="AA61" s="88">
        <v>11</v>
      </c>
      <c r="AB61" s="142"/>
      <c r="AC61" s="29"/>
      <c r="AD61" s="26"/>
      <c r="AE61" s="140">
        <v>0.4</v>
      </c>
      <c r="AF61" s="27">
        <f>AF18</f>
        <v>101</v>
      </c>
      <c r="AG61" s="26">
        <f t="shared" si="39"/>
        <v>3.9603960396039604E-3</v>
      </c>
      <c r="AH61" s="77">
        <v>1</v>
      </c>
      <c r="AI61" s="52">
        <v>7000</v>
      </c>
      <c r="AJ61" s="89">
        <f t="shared" si="40"/>
        <v>27.722772277227723</v>
      </c>
      <c r="AK61" s="794"/>
      <c r="AL61" s="118"/>
      <c r="AM61" s="88">
        <v>11</v>
      </c>
      <c r="AN61" s="142"/>
      <c r="AO61" s="29"/>
      <c r="AP61" s="26"/>
      <c r="AQ61" s="140">
        <v>0.4</v>
      </c>
      <c r="AR61" s="27">
        <f>AR18</f>
        <v>0</v>
      </c>
      <c r="AS61" s="26" t="e">
        <f t="shared" si="45"/>
        <v>#DIV/0!</v>
      </c>
      <c r="AT61" s="77">
        <v>1</v>
      </c>
      <c r="AU61" s="52">
        <v>7000</v>
      </c>
      <c r="AV61" s="89">
        <f t="shared" si="46"/>
        <v>0</v>
      </c>
      <c r="AW61" s="794"/>
      <c r="AX61" s="22"/>
      <c r="AY61" s="5">
        <f t="shared" si="44"/>
        <v>2800</v>
      </c>
    </row>
    <row r="62" spans="1:56" ht="15" hidden="1" customHeight="1" outlineLevel="2">
      <c r="A62" s="746"/>
      <c r="B62" s="747"/>
      <c r="C62" s="299" t="s">
        <v>24</v>
      </c>
      <c r="D62" s="299"/>
      <c r="E62" s="299"/>
      <c r="F62" s="299"/>
      <c r="G62" s="249" t="e">
        <f>#REF!</f>
        <v>#REF!</v>
      </c>
      <c r="H62" s="299" t="e">
        <f>#REF!/G62</f>
        <v>#REF!</v>
      </c>
      <c r="I62" s="249">
        <v>1</v>
      </c>
      <c r="J62" s="252">
        <v>7000</v>
      </c>
      <c r="K62" s="280">
        <f t="shared" si="36"/>
        <v>0</v>
      </c>
      <c r="L62" s="800"/>
      <c r="M62" s="269"/>
      <c r="Q62" s="26" t="s">
        <v>24</v>
      </c>
      <c r="R62" s="26"/>
      <c r="S62" s="26"/>
      <c r="T62" s="140">
        <v>0.4</v>
      </c>
      <c r="U62" s="27" t="e">
        <f>#REF!</f>
        <v>#REF!</v>
      </c>
      <c r="V62" s="87" t="e">
        <f t="shared" si="37"/>
        <v>#REF!</v>
      </c>
      <c r="W62" s="77">
        <v>1</v>
      </c>
      <c r="X62" s="52">
        <v>7000</v>
      </c>
      <c r="Y62" s="89">
        <f t="shared" si="38"/>
        <v>0</v>
      </c>
      <c r="AA62" s="88">
        <v>12</v>
      </c>
      <c r="AB62" s="26" t="s">
        <v>24</v>
      </c>
      <c r="AC62" s="26"/>
      <c r="AD62" s="26"/>
      <c r="AE62" s="140">
        <v>0.4</v>
      </c>
      <c r="AF62" s="27" t="e">
        <f>#REF!</f>
        <v>#REF!</v>
      </c>
      <c r="AG62" s="26" t="e">
        <f t="shared" si="39"/>
        <v>#REF!</v>
      </c>
      <c r="AH62" s="77">
        <v>1</v>
      </c>
      <c r="AI62" s="52">
        <v>7000</v>
      </c>
      <c r="AJ62" s="89">
        <f t="shared" si="40"/>
        <v>0</v>
      </c>
      <c r="AK62" s="794"/>
      <c r="AL62" s="118"/>
      <c r="AM62" s="88">
        <v>12</v>
      </c>
      <c r="AN62" s="26" t="s">
        <v>24</v>
      </c>
      <c r="AO62" s="26"/>
      <c r="AP62" s="26"/>
      <c r="AQ62" s="140">
        <v>0.4</v>
      </c>
      <c r="AR62" s="27" t="e">
        <f>#REF!</f>
        <v>#REF!</v>
      </c>
      <c r="AS62" s="26" t="e">
        <f t="shared" si="45"/>
        <v>#REF!</v>
      </c>
      <c r="AT62" s="77">
        <v>1</v>
      </c>
      <c r="AU62" s="52">
        <v>7000</v>
      </c>
      <c r="AV62" s="89">
        <f t="shared" si="46"/>
        <v>0</v>
      </c>
      <c r="AW62" s="794"/>
      <c r="AX62" s="22"/>
      <c r="AY62" s="5" t="e">
        <f t="shared" si="44"/>
        <v>#REF!</v>
      </c>
    </row>
    <row r="63" spans="1:56" ht="15" hidden="1" customHeight="1" outlineLevel="2">
      <c r="A63" s="746"/>
      <c r="B63" s="747"/>
      <c r="C63" s="299" t="s">
        <v>24</v>
      </c>
      <c r="D63" s="299"/>
      <c r="E63" s="299"/>
      <c r="F63" s="299"/>
      <c r="G63" s="249" t="e">
        <f>#REF!</f>
        <v>#REF!</v>
      </c>
      <c r="H63" s="299" t="e">
        <f>#REF!/G63</f>
        <v>#REF!</v>
      </c>
      <c r="I63" s="249">
        <v>1</v>
      </c>
      <c r="J63" s="252">
        <v>7000</v>
      </c>
      <c r="K63" s="280">
        <f t="shared" si="36"/>
        <v>0</v>
      </c>
      <c r="L63" s="800"/>
      <c r="M63" s="269"/>
      <c r="Q63" s="26" t="s">
        <v>24</v>
      </c>
      <c r="R63" s="26"/>
      <c r="S63" s="26"/>
      <c r="T63" s="140">
        <v>0.4</v>
      </c>
      <c r="U63" s="27" t="e">
        <f>#REF!</f>
        <v>#REF!</v>
      </c>
      <c r="V63" s="87" t="e">
        <f t="shared" si="37"/>
        <v>#REF!</v>
      </c>
      <c r="W63" s="77">
        <v>1</v>
      </c>
      <c r="X63" s="52">
        <v>7000</v>
      </c>
      <c r="Y63" s="89">
        <f t="shared" si="38"/>
        <v>0</v>
      </c>
      <c r="AA63" s="88">
        <v>13</v>
      </c>
      <c r="AB63" s="26" t="s">
        <v>24</v>
      </c>
      <c r="AC63" s="26"/>
      <c r="AD63" s="26"/>
      <c r="AE63" s="140">
        <v>0.4</v>
      </c>
      <c r="AF63" s="27" t="e">
        <f>#REF!</f>
        <v>#REF!</v>
      </c>
      <c r="AG63" s="26" t="e">
        <f t="shared" si="39"/>
        <v>#REF!</v>
      </c>
      <c r="AH63" s="77">
        <v>1</v>
      </c>
      <c r="AI63" s="52">
        <v>7000</v>
      </c>
      <c r="AJ63" s="89">
        <f t="shared" si="40"/>
        <v>0</v>
      </c>
      <c r="AK63" s="794"/>
      <c r="AL63" s="118"/>
      <c r="AM63" s="88">
        <v>13</v>
      </c>
      <c r="AN63" s="26" t="s">
        <v>24</v>
      </c>
      <c r="AO63" s="26"/>
      <c r="AP63" s="26"/>
      <c r="AQ63" s="140">
        <v>0.4</v>
      </c>
      <c r="AR63" s="27" t="e">
        <f>#REF!</f>
        <v>#REF!</v>
      </c>
      <c r="AS63" s="26" t="e">
        <f t="shared" si="45"/>
        <v>#REF!</v>
      </c>
      <c r="AT63" s="77">
        <v>1</v>
      </c>
      <c r="AU63" s="52">
        <v>7000</v>
      </c>
      <c r="AV63" s="89">
        <f t="shared" si="46"/>
        <v>0</v>
      </c>
      <c r="AW63" s="794"/>
      <c r="AX63" s="22"/>
      <c r="AY63" s="5" t="e">
        <f t="shared" si="44"/>
        <v>#REF!</v>
      </c>
    </row>
    <row r="64" spans="1:56" ht="15" hidden="1" customHeight="1" outlineLevel="2">
      <c r="A64" s="746"/>
      <c r="B64" s="747"/>
      <c r="C64" s="299" t="s">
        <v>24</v>
      </c>
      <c r="D64" s="299"/>
      <c r="E64" s="299"/>
      <c r="F64" s="299"/>
      <c r="G64" s="249" t="e">
        <f>#REF!</f>
        <v>#REF!</v>
      </c>
      <c r="H64" s="299" t="e">
        <f>#REF!/G64</f>
        <v>#REF!</v>
      </c>
      <c r="I64" s="249">
        <v>1</v>
      </c>
      <c r="J64" s="252">
        <v>7000</v>
      </c>
      <c r="K64" s="280">
        <f t="shared" si="36"/>
        <v>0</v>
      </c>
      <c r="L64" s="800"/>
      <c r="M64" s="269"/>
      <c r="Q64" s="26" t="s">
        <v>24</v>
      </c>
      <c r="R64" s="26"/>
      <c r="S64" s="26"/>
      <c r="T64" s="140">
        <v>0.4</v>
      </c>
      <c r="U64" s="27" t="e">
        <f>#REF!</f>
        <v>#REF!</v>
      </c>
      <c r="V64" s="87" t="e">
        <f t="shared" si="37"/>
        <v>#REF!</v>
      </c>
      <c r="W64" s="77">
        <v>1</v>
      </c>
      <c r="X64" s="52">
        <v>7000</v>
      </c>
      <c r="Y64" s="89">
        <f t="shared" si="38"/>
        <v>0</v>
      </c>
      <c r="AA64" s="88">
        <v>1</v>
      </c>
      <c r="AB64" s="26" t="s">
        <v>24</v>
      </c>
      <c r="AC64" s="26"/>
      <c r="AD64" s="26"/>
      <c r="AE64" s="140">
        <v>0.4</v>
      </c>
      <c r="AF64" s="27" t="e">
        <f>#REF!</f>
        <v>#REF!</v>
      </c>
      <c r="AG64" s="26" t="e">
        <f t="shared" si="39"/>
        <v>#REF!</v>
      </c>
      <c r="AH64" s="77">
        <v>1</v>
      </c>
      <c r="AI64" s="52">
        <v>7000</v>
      </c>
      <c r="AJ64" s="89">
        <f t="shared" si="40"/>
        <v>0</v>
      </c>
      <c r="AK64" s="794"/>
      <c r="AL64" s="118"/>
      <c r="AM64" s="88">
        <v>1</v>
      </c>
      <c r="AN64" s="26" t="s">
        <v>24</v>
      </c>
      <c r="AO64" s="26"/>
      <c r="AP64" s="26"/>
      <c r="AQ64" s="140">
        <v>0.4</v>
      </c>
      <c r="AR64" s="27" t="e">
        <f>#REF!</f>
        <v>#REF!</v>
      </c>
      <c r="AS64" s="26" t="e">
        <f t="shared" si="45"/>
        <v>#REF!</v>
      </c>
      <c r="AT64" s="77">
        <v>1</v>
      </c>
      <c r="AU64" s="52">
        <v>7000</v>
      </c>
      <c r="AV64" s="89">
        <f t="shared" si="46"/>
        <v>0</v>
      </c>
      <c r="AW64" s="794"/>
      <c r="AX64" s="22"/>
      <c r="AY64" s="5" t="e">
        <f t="shared" si="44"/>
        <v>#REF!</v>
      </c>
    </row>
    <row r="65" spans="1:55" ht="15" hidden="1" customHeight="1" outlineLevel="2">
      <c r="A65" s="746"/>
      <c r="B65" s="747"/>
      <c r="C65" s="299" t="s">
        <v>24</v>
      </c>
      <c r="D65" s="299"/>
      <c r="E65" s="299"/>
      <c r="F65" s="299"/>
      <c r="G65" s="249" t="e">
        <f>#REF!</f>
        <v>#REF!</v>
      </c>
      <c r="H65" s="299" t="e">
        <f>#REF!/G65</f>
        <v>#REF!</v>
      </c>
      <c r="I65" s="249">
        <v>1</v>
      </c>
      <c r="J65" s="252">
        <v>7000</v>
      </c>
      <c r="K65" s="280">
        <f t="shared" si="36"/>
        <v>0</v>
      </c>
      <c r="L65" s="800"/>
      <c r="M65" s="269"/>
      <c r="Q65" s="26" t="s">
        <v>24</v>
      </c>
      <c r="R65" s="26"/>
      <c r="S65" s="26"/>
      <c r="T65" s="140">
        <v>0.4</v>
      </c>
      <c r="U65" s="27" t="e">
        <f>#REF!</f>
        <v>#REF!</v>
      </c>
      <c r="V65" s="87" t="e">
        <f t="shared" si="37"/>
        <v>#REF!</v>
      </c>
      <c r="W65" s="77">
        <v>1</v>
      </c>
      <c r="X65" s="52">
        <v>7000</v>
      </c>
      <c r="Y65" s="89">
        <f t="shared" si="38"/>
        <v>0</v>
      </c>
      <c r="AA65" s="88">
        <v>1</v>
      </c>
      <c r="AB65" s="26" t="s">
        <v>24</v>
      </c>
      <c r="AC65" s="26"/>
      <c r="AD65" s="26"/>
      <c r="AE65" s="140">
        <v>0.4</v>
      </c>
      <c r="AF65" s="27" t="e">
        <f>#REF!</f>
        <v>#REF!</v>
      </c>
      <c r="AG65" s="26" t="e">
        <f t="shared" si="39"/>
        <v>#REF!</v>
      </c>
      <c r="AH65" s="77">
        <v>1</v>
      </c>
      <c r="AI65" s="52">
        <v>7000</v>
      </c>
      <c r="AJ65" s="89">
        <f t="shared" si="40"/>
        <v>0</v>
      </c>
      <c r="AK65" s="794"/>
      <c r="AL65" s="118"/>
      <c r="AM65" s="88">
        <v>1</v>
      </c>
      <c r="AN65" s="26" t="s">
        <v>24</v>
      </c>
      <c r="AO65" s="26"/>
      <c r="AP65" s="26"/>
      <c r="AQ65" s="140">
        <v>0.4</v>
      </c>
      <c r="AR65" s="27" t="e">
        <f>#REF!</f>
        <v>#REF!</v>
      </c>
      <c r="AS65" s="26" t="e">
        <f t="shared" si="45"/>
        <v>#REF!</v>
      </c>
      <c r="AT65" s="77">
        <v>1</v>
      </c>
      <c r="AU65" s="52">
        <v>7000</v>
      </c>
      <c r="AV65" s="89">
        <f t="shared" si="46"/>
        <v>0</v>
      </c>
      <c r="AW65" s="794"/>
      <c r="AX65" s="22"/>
      <c r="AY65" s="5" t="e">
        <f t="shared" si="44"/>
        <v>#REF!</v>
      </c>
    </row>
    <row r="66" spans="1:55" ht="15" hidden="1" customHeight="1" outlineLevel="2">
      <c r="A66" s="746"/>
      <c r="B66" s="747"/>
      <c r="C66" s="299"/>
      <c r="D66" s="299"/>
      <c r="E66" s="299"/>
      <c r="F66" s="299"/>
      <c r="G66" s="300"/>
      <c r="H66" s="299" t="e">
        <f>#REF!/G66</f>
        <v>#REF!</v>
      </c>
      <c r="I66" s="249"/>
      <c r="J66" s="252"/>
      <c r="K66" s="280">
        <f t="shared" si="36"/>
        <v>0</v>
      </c>
      <c r="L66" s="800"/>
      <c r="M66" s="269"/>
      <c r="Q66" s="26"/>
      <c r="R66" s="26"/>
      <c r="S66" s="26"/>
      <c r="T66" s="140"/>
      <c r="U66" s="43"/>
      <c r="V66" s="87" t="e">
        <f t="shared" si="37"/>
        <v>#DIV/0!</v>
      </c>
      <c r="W66" s="77"/>
      <c r="X66" s="52"/>
      <c r="Y66" s="89">
        <f t="shared" si="38"/>
        <v>0</v>
      </c>
      <c r="AA66" s="88"/>
      <c r="AB66" s="26"/>
      <c r="AC66" s="26"/>
      <c r="AD66" s="26"/>
      <c r="AE66" s="140"/>
      <c r="AF66" s="43"/>
      <c r="AG66" s="26" t="e">
        <f t="shared" si="39"/>
        <v>#DIV/0!</v>
      </c>
      <c r="AH66" s="77"/>
      <c r="AI66" s="52"/>
      <c r="AJ66" s="89">
        <f t="shared" si="40"/>
        <v>0</v>
      </c>
      <c r="AK66" s="794"/>
      <c r="AL66" s="118"/>
      <c r="AM66" s="88"/>
      <c r="AN66" s="26"/>
      <c r="AO66" s="26"/>
      <c r="AP66" s="26"/>
      <c r="AQ66" s="140"/>
      <c r="AR66" s="43"/>
      <c r="AS66" s="26" t="e">
        <f t="shared" si="45"/>
        <v>#DIV/0!</v>
      </c>
      <c r="AT66" s="77"/>
      <c r="AU66" s="52"/>
      <c r="AV66" s="89">
        <f t="shared" si="46"/>
        <v>0</v>
      </c>
      <c r="AW66" s="794"/>
      <c r="AX66" s="22"/>
      <c r="AY66" s="5">
        <f t="shared" si="44"/>
        <v>0</v>
      </c>
    </row>
    <row r="67" spans="1:55" ht="15" hidden="1" customHeight="1" outlineLevel="2" thickBot="1">
      <c r="A67" s="746"/>
      <c r="B67" s="747"/>
      <c r="C67" s="786"/>
      <c r="D67" s="786"/>
      <c r="E67" s="786"/>
      <c r="F67" s="786"/>
      <c r="G67" s="786"/>
      <c r="H67" s="786"/>
      <c r="I67" s="786"/>
      <c r="J67" s="786"/>
      <c r="K67" s="247">
        <f>SUM(K54:K56)</f>
        <v>0</v>
      </c>
      <c r="L67" s="800"/>
      <c r="M67" s="270"/>
      <c r="Q67" s="68"/>
      <c r="R67" s="68"/>
      <c r="S67" s="68"/>
      <c r="T67" s="68"/>
      <c r="U67" s="68"/>
      <c r="V67" s="125"/>
      <c r="W67" s="68"/>
      <c r="X67" s="68"/>
      <c r="Y67" s="92">
        <f>SUM(Y54:Y56)</f>
        <v>836.91273825503356</v>
      </c>
      <c r="AA67" s="787" t="s">
        <v>44</v>
      </c>
      <c r="AB67" s="788"/>
      <c r="AC67" s="788"/>
      <c r="AD67" s="788"/>
      <c r="AE67" s="788"/>
      <c r="AF67" s="788"/>
      <c r="AG67" s="788"/>
      <c r="AH67" s="788"/>
      <c r="AI67" s="789"/>
      <c r="AJ67" s="92">
        <f>SUM(AJ54:AJ56)</f>
        <v>836.91273825503356</v>
      </c>
      <c r="AK67" s="795"/>
      <c r="AL67" s="124"/>
      <c r="AM67" s="787" t="s">
        <v>44</v>
      </c>
      <c r="AN67" s="788"/>
      <c r="AO67" s="788"/>
      <c r="AP67" s="788"/>
      <c r="AQ67" s="788"/>
      <c r="AR67" s="788"/>
      <c r="AS67" s="788"/>
      <c r="AT67" s="788"/>
      <c r="AU67" s="789"/>
      <c r="AV67" s="92">
        <f>SUM(AV54:AV56)</f>
        <v>0</v>
      </c>
      <c r="AW67" s="795"/>
      <c r="AX67" s="22"/>
      <c r="AY67" s="38">
        <f>SUM(AY54:AY56)</f>
        <v>84528.186563758383</v>
      </c>
    </row>
    <row r="68" spans="1:55" ht="15.75" hidden="1" customHeight="1" thickBot="1">
      <c r="A68" s="746"/>
      <c r="B68" s="747"/>
      <c r="C68" s="796"/>
      <c r="D68" s="796"/>
      <c r="E68" s="796"/>
      <c r="F68" s="796"/>
      <c r="G68" s="796"/>
      <c r="H68" s="796"/>
      <c r="I68" s="796"/>
      <c r="J68" s="796"/>
      <c r="K68" s="247">
        <f>K67+K51+K19</f>
        <v>0</v>
      </c>
      <c r="L68" s="249"/>
      <c r="M68" s="143"/>
      <c r="Q68" s="68"/>
      <c r="R68" s="68"/>
      <c r="S68" s="68"/>
      <c r="T68" s="68"/>
      <c r="U68" s="68"/>
      <c r="V68" s="125"/>
      <c r="W68" s="68"/>
      <c r="X68" s="68"/>
      <c r="Y68" s="92">
        <f>Y67+Y51+Y19</f>
        <v>57198.788134228191</v>
      </c>
      <c r="AA68" s="797" t="s">
        <v>108</v>
      </c>
      <c r="AB68" s="798"/>
      <c r="AC68" s="798"/>
      <c r="AD68" s="798"/>
      <c r="AE68" s="798"/>
      <c r="AF68" s="798"/>
      <c r="AG68" s="798"/>
      <c r="AH68" s="798"/>
      <c r="AI68" s="799"/>
      <c r="AJ68" s="92">
        <f>AJ67+AJ51+AJ19</f>
        <v>57198.788134228198</v>
      </c>
      <c r="AK68" s="77"/>
      <c r="AL68" s="143"/>
      <c r="AM68" s="797" t="s">
        <v>108</v>
      </c>
      <c r="AN68" s="798"/>
      <c r="AO68" s="798"/>
      <c r="AP68" s="798"/>
      <c r="AQ68" s="798"/>
      <c r="AR68" s="798"/>
      <c r="AS68" s="798"/>
      <c r="AT68" s="798"/>
      <c r="AU68" s="799"/>
      <c r="AV68" s="92">
        <f>AV67+AV51+AV19</f>
        <v>20578.851638255033</v>
      </c>
      <c r="AW68" s="77"/>
      <c r="AX68" s="23"/>
      <c r="AY68" s="144">
        <f>AY67+AY51+AY19</f>
        <v>8440567.7816375829</v>
      </c>
      <c r="AZ68" s="5" t="s">
        <v>225</v>
      </c>
    </row>
    <row r="69" spans="1:55" ht="384.75" hidden="1" customHeight="1">
      <c r="A69" s="746"/>
      <c r="B69" s="747"/>
      <c r="C69" s="301" t="s">
        <v>10</v>
      </c>
      <c r="D69" s="301"/>
      <c r="E69" s="301" t="s">
        <v>28</v>
      </c>
      <c r="F69" s="301" t="s">
        <v>20</v>
      </c>
      <c r="G69" s="302" t="s">
        <v>96</v>
      </c>
      <c r="H69" s="301" t="s">
        <v>55</v>
      </c>
      <c r="I69" s="301" t="s">
        <v>75</v>
      </c>
      <c r="J69" s="301" t="s">
        <v>23</v>
      </c>
      <c r="K69" s="301" t="s">
        <v>11</v>
      </c>
      <c r="L69" s="301" t="s">
        <v>45</v>
      </c>
      <c r="M69" s="273"/>
      <c r="Q69" s="146" t="s">
        <v>10</v>
      </c>
      <c r="R69" s="146" t="s">
        <v>28</v>
      </c>
      <c r="S69" s="146" t="s">
        <v>20</v>
      </c>
      <c r="T69" s="108" t="s">
        <v>2</v>
      </c>
      <c r="U69" s="147" t="s">
        <v>96</v>
      </c>
      <c r="V69" s="148" t="s">
        <v>55</v>
      </c>
      <c r="W69" s="146" t="s">
        <v>75</v>
      </c>
      <c r="X69" s="146" t="s">
        <v>23</v>
      </c>
      <c r="Y69" s="146" t="s">
        <v>11</v>
      </c>
      <c r="AA69" s="146" t="s">
        <v>9</v>
      </c>
      <c r="AB69" s="146" t="s">
        <v>10</v>
      </c>
      <c r="AC69" s="146" t="s">
        <v>28</v>
      </c>
      <c r="AD69" s="146" t="s">
        <v>20</v>
      </c>
      <c r="AE69" s="108" t="s">
        <v>2</v>
      </c>
      <c r="AF69" s="147" t="s">
        <v>96</v>
      </c>
      <c r="AG69" s="146" t="s">
        <v>55</v>
      </c>
      <c r="AH69" s="146" t="s">
        <v>75</v>
      </c>
      <c r="AI69" s="146" t="s">
        <v>23</v>
      </c>
      <c r="AJ69" s="146" t="s">
        <v>11</v>
      </c>
      <c r="AK69" s="146" t="s">
        <v>45</v>
      </c>
      <c r="AL69" s="145"/>
      <c r="AM69" s="146" t="s">
        <v>9</v>
      </c>
      <c r="AN69" s="146" t="s">
        <v>10</v>
      </c>
      <c r="AO69" s="146" t="s">
        <v>28</v>
      </c>
      <c r="AP69" s="146" t="s">
        <v>20</v>
      </c>
      <c r="AQ69" s="108" t="s">
        <v>2</v>
      </c>
      <c r="AR69" s="147" t="s">
        <v>96</v>
      </c>
      <c r="AS69" s="146" t="s">
        <v>55</v>
      </c>
      <c r="AT69" s="146" t="s">
        <v>75</v>
      </c>
      <c r="AU69" s="146" t="s">
        <v>23</v>
      </c>
      <c r="AV69" s="146" t="s">
        <v>11</v>
      </c>
      <c r="AW69" s="146" t="s">
        <v>45</v>
      </c>
      <c r="AZ69" s="24">
        <f>AY68+BA51+BA19</f>
        <v>11506816.675737582</v>
      </c>
    </row>
    <row r="70" spans="1:55" ht="15" hidden="1" customHeight="1">
      <c r="A70" s="746"/>
      <c r="B70" s="747"/>
      <c r="C70" s="303">
        <v>1</v>
      </c>
      <c r="D70" s="303"/>
      <c r="E70" s="303">
        <v>2</v>
      </c>
      <c r="F70" s="303">
        <v>3</v>
      </c>
      <c r="G70" s="304">
        <v>5</v>
      </c>
      <c r="H70" s="303" t="s">
        <v>64</v>
      </c>
      <c r="I70" s="303">
        <v>7</v>
      </c>
      <c r="J70" s="303">
        <v>8</v>
      </c>
      <c r="K70" s="303" t="s">
        <v>111</v>
      </c>
      <c r="L70" s="301"/>
      <c r="M70" s="273"/>
      <c r="Q70" s="149">
        <v>1</v>
      </c>
      <c r="R70" s="149">
        <v>2</v>
      </c>
      <c r="S70" s="149">
        <v>3</v>
      </c>
      <c r="T70" s="150">
        <v>4</v>
      </c>
      <c r="U70" s="150">
        <v>5</v>
      </c>
      <c r="V70" s="151" t="s">
        <v>64</v>
      </c>
      <c r="W70" s="149">
        <v>7</v>
      </c>
      <c r="X70" s="149">
        <v>8</v>
      </c>
      <c r="Y70" s="149" t="s">
        <v>111</v>
      </c>
      <c r="AA70" s="149">
        <v>1</v>
      </c>
      <c r="AB70" s="149">
        <v>1</v>
      </c>
      <c r="AC70" s="149">
        <v>2</v>
      </c>
      <c r="AD70" s="149">
        <v>3</v>
      </c>
      <c r="AE70" s="150">
        <v>4</v>
      </c>
      <c r="AF70" s="150">
        <v>5</v>
      </c>
      <c r="AG70" s="149" t="s">
        <v>64</v>
      </c>
      <c r="AH70" s="149">
        <v>7</v>
      </c>
      <c r="AI70" s="149">
        <v>8</v>
      </c>
      <c r="AJ70" s="149" t="s">
        <v>111</v>
      </c>
      <c r="AK70" s="146"/>
      <c r="AL70" s="145"/>
      <c r="AM70" s="149">
        <v>1</v>
      </c>
      <c r="AN70" s="149">
        <v>1</v>
      </c>
      <c r="AO70" s="149">
        <v>2</v>
      </c>
      <c r="AP70" s="149">
        <v>3</v>
      </c>
      <c r="AQ70" s="150">
        <v>4</v>
      </c>
      <c r="AR70" s="150">
        <v>5</v>
      </c>
      <c r="AS70" s="149" t="s">
        <v>64</v>
      </c>
      <c r="AT70" s="149">
        <v>7</v>
      </c>
      <c r="AU70" s="149">
        <v>8</v>
      </c>
      <c r="AV70" s="149" t="s">
        <v>111</v>
      </c>
      <c r="AW70" s="146"/>
    </row>
    <row r="71" spans="1:55" ht="15" customHeight="1">
      <c r="A71" s="746"/>
      <c r="B71" s="747"/>
      <c r="C71" s="809" t="s">
        <v>12</v>
      </c>
      <c r="D71" s="809"/>
      <c r="E71" s="809"/>
      <c r="F71" s="809"/>
      <c r="G71" s="809"/>
      <c r="H71" s="809"/>
      <c r="I71" s="809"/>
      <c r="J71" s="809"/>
      <c r="K71" s="809"/>
      <c r="L71" s="809"/>
      <c r="M71" s="152"/>
      <c r="Q71" s="68"/>
      <c r="R71" s="68"/>
      <c r="S71" s="68"/>
      <c r="T71" s="68"/>
      <c r="U71" s="68"/>
      <c r="V71" s="125"/>
      <c r="W71" s="68"/>
      <c r="X71" s="68"/>
      <c r="Y71" s="68"/>
      <c r="AA71" s="806" t="s">
        <v>12</v>
      </c>
      <c r="AB71" s="807"/>
      <c r="AC71" s="807"/>
      <c r="AD71" s="807"/>
      <c r="AE71" s="807"/>
      <c r="AF71" s="807"/>
      <c r="AG71" s="807"/>
      <c r="AH71" s="807"/>
      <c r="AI71" s="807"/>
      <c r="AJ71" s="807"/>
      <c r="AK71" s="808"/>
      <c r="AL71" s="152"/>
      <c r="AM71" s="806" t="s">
        <v>12</v>
      </c>
      <c r="AN71" s="807"/>
      <c r="AO71" s="807"/>
      <c r="AP71" s="807"/>
      <c r="AQ71" s="807"/>
      <c r="AR71" s="807"/>
      <c r="AS71" s="807"/>
      <c r="AT71" s="807"/>
      <c r="AU71" s="807"/>
      <c r="AV71" s="807"/>
      <c r="AW71" s="808"/>
      <c r="BC71" s="24"/>
    </row>
    <row r="72" spans="1:55" ht="15.75" customHeight="1">
      <c r="A72" s="746"/>
      <c r="B72" s="747"/>
      <c r="C72" s="279" t="s">
        <v>16</v>
      </c>
      <c r="D72" s="305" t="s">
        <v>226</v>
      </c>
      <c r="E72" s="801" t="e">
        <f>'расчет по услугам'!#REF!</f>
        <v>#REF!</v>
      </c>
      <c r="F72" s="801"/>
      <c r="G72" s="306">
        <v>1</v>
      </c>
      <c r="H72" s="278" t="e">
        <f>E72*G72/#REF!</f>
        <v>#REF!</v>
      </c>
      <c r="I72" s="225">
        <v>6.2127809999999997</v>
      </c>
      <c r="J72" s="307"/>
      <c r="K72" s="280" t="e">
        <f>I72*H72</f>
        <v>#REF!</v>
      </c>
      <c r="L72" s="249"/>
      <c r="M72" s="274"/>
      <c r="Q72" s="154" t="s">
        <v>16</v>
      </c>
      <c r="R72" s="155" t="s">
        <v>47</v>
      </c>
      <c r="S72" s="156">
        <f>59460*0.5/149*T72</f>
        <v>9577.4496644295305</v>
      </c>
      <c r="T72" s="157">
        <v>48</v>
      </c>
      <c r="U72" s="158">
        <v>1</v>
      </c>
      <c r="V72" s="159">
        <f>S72*U72/T72</f>
        <v>199.53020134228188</v>
      </c>
      <c r="W72" s="160">
        <v>6.2127809999999997</v>
      </c>
      <c r="X72" s="30"/>
      <c r="Y72" s="46">
        <f>W72*V72</f>
        <v>1239.6374438255034</v>
      </c>
      <c r="AA72" s="41">
        <v>1</v>
      </c>
      <c r="AB72" s="154" t="s">
        <v>16</v>
      </c>
      <c r="AC72" s="155" t="s">
        <v>47</v>
      </c>
      <c r="AD72" s="156">
        <f>59460*0.5/149*AE72</f>
        <v>20152.550335570471</v>
      </c>
      <c r="AE72" s="157">
        <v>101</v>
      </c>
      <c r="AF72" s="158">
        <v>1</v>
      </c>
      <c r="AG72" s="161">
        <f>AD72*AF72/AE72</f>
        <v>199.53020134228188</v>
      </c>
      <c r="AH72" s="160">
        <v>6.2127809999999997</v>
      </c>
      <c r="AI72" s="30"/>
      <c r="AJ72" s="46">
        <f>AH72*AG72</f>
        <v>1239.6374438255034</v>
      </c>
      <c r="AK72" s="27"/>
      <c r="AL72" s="153"/>
      <c r="AM72" s="41">
        <v>1</v>
      </c>
      <c r="AN72" s="154" t="s">
        <v>16</v>
      </c>
      <c r="AO72" s="155" t="s">
        <v>47</v>
      </c>
      <c r="AP72" s="156">
        <f>59460*0.5</f>
        <v>29730</v>
      </c>
      <c r="AQ72" s="157">
        <v>149</v>
      </c>
      <c r="AR72" s="158">
        <v>1</v>
      </c>
      <c r="AS72" s="161">
        <f>AP72*AR72/AQ72</f>
        <v>199.53020134228188</v>
      </c>
      <c r="AT72" s="160">
        <v>6.2127809999999997</v>
      </c>
      <c r="AU72" s="30"/>
      <c r="AV72" s="46">
        <f>AT72*AS72</f>
        <v>1239.6374438255034</v>
      </c>
      <c r="AW72" s="27"/>
      <c r="AY72" s="5">
        <f>AJ72*AE72</f>
        <v>125203.38182637584</v>
      </c>
      <c r="AZ72" s="5">
        <v>369412</v>
      </c>
      <c r="BA72" s="5">
        <f>AP72*AT72</f>
        <v>184705.97912999999</v>
      </c>
      <c r="BB72" s="5">
        <f>AZ72-AY72-BA72</f>
        <v>59502.639043624164</v>
      </c>
    </row>
    <row r="73" spans="1:55" ht="15.75" customHeight="1">
      <c r="A73" s="746"/>
      <c r="B73" s="747"/>
      <c r="C73" s="279" t="s">
        <v>13</v>
      </c>
      <c r="D73" s="305" t="s">
        <v>227</v>
      </c>
      <c r="E73" s="801" t="e">
        <f>'расчет по услугам'!#REF!</f>
        <v>#REF!</v>
      </c>
      <c r="F73" s="801"/>
      <c r="G73" s="306">
        <v>1</v>
      </c>
      <c r="H73" s="278" t="e">
        <f>E73*G73/#REF!</f>
        <v>#REF!</v>
      </c>
      <c r="I73" s="225">
        <v>2760.4580599999999</v>
      </c>
      <c r="J73" s="307"/>
      <c r="K73" s="280" t="e">
        <f>I73*H73</f>
        <v>#REF!</v>
      </c>
      <c r="L73" s="249"/>
      <c r="M73" s="274"/>
      <c r="Q73" s="154" t="s">
        <v>13</v>
      </c>
      <c r="R73" s="155" t="s">
        <v>227</v>
      </c>
      <c r="S73" s="156">
        <f>(361)*0.5/149*T73</f>
        <v>58.147651006711413</v>
      </c>
      <c r="T73" s="157">
        <f>T72</f>
        <v>48</v>
      </c>
      <c r="U73" s="158">
        <v>1</v>
      </c>
      <c r="V73" s="159">
        <f>S73*U73/T73</f>
        <v>1.2114093959731544</v>
      </c>
      <c r="W73" s="160">
        <v>2760.4580599999999</v>
      </c>
      <c r="X73" s="30"/>
      <c r="Y73" s="46">
        <f>W73*V73</f>
        <v>3344.0448310738257</v>
      </c>
      <c r="AA73" s="41">
        <v>2</v>
      </c>
      <c r="AB73" s="154" t="s">
        <v>13</v>
      </c>
      <c r="AC73" s="155" t="s">
        <v>227</v>
      </c>
      <c r="AD73" s="156">
        <f>(361)*0.5/149*AE73</f>
        <v>122.3523489932886</v>
      </c>
      <c r="AE73" s="157">
        <f>AE72</f>
        <v>101</v>
      </c>
      <c r="AF73" s="158">
        <v>1</v>
      </c>
      <c r="AG73" s="161">
        <f>AD73*AF73/AE73</f>
        <v>1.2114093959731544</v>
      </c>
      <c r="AH73" s="160">
        <v>2760.4580599999999</v>
      </c>
      <c r="AI73" s="30"/>
      <c r="AJ73" s="46">
        <f>AH73*AG73</f>
        <v>3344.0448310738257</v>
      </c>
      <c r="AK73" s="27"/>
      <c r="AL73" s="153"/>
      <c r="AM73" s="41">
        <v>2</v>
      </c>
      <c r="AN73" s="154" t="s">
        <v>13</v>
      </c>
      <c r="AO73" s="155" t="s">
        <v>227</v>
      </c>
      <c r="AP73" s="156">
        <f>(361)*0.5</f>
        <v>180.5</v>
      </c>
      <c r="AQ73" s="157">
        <f>AQ72</f>
        <v>149</v>
      </c>
      <c r="AR73" s="158">
        <v>1</v>
      </c>
      <c r="AS73" s="161">
        <f>AP73*AR73/AQ73</f>
        <v>1.2114093959731544</v>
      </c>
      <c r="AT73" s="160">
        <v>2760.4580599999999</v>
      </c>
      <c r="AU73" s="30"/>
      <c r="AV73" s="46">
        <f>AT73*AS73</f>
        <v>3344.0448310738257</v>
      </c>
      <c r="AW73" s="27"/>
      <c r="AY73" s="5">
        <f>AJ73*AE73</f>
        <v>337748.52793845639</v>
      </c>
      <c r="AZ73" s="5">
        <v>996525.36</v>
      </c>
      <c r="BA73" s="5">
        <f t="shared" ref="BA73:BA75" si="47">AT73*AP73</f>
        <v>498262.67982999998</v>
      </c>
      <c r="BB73" s="5">
        <f t="shared" ref="BB73" si="48">AZ73-AY73-BA73</f>
        <v>160514.15223154362</v>
      </c>
    </row>
    <row r="74" spans="1:55" ht="15.75" customHeight="1">
      <c r="A74" s="746"/>
      <c r="B74" s="747"/>
      <c r="C74" s="279" t="s">
        <v>14</v>
      </c>
      <c r="D74" s="305" t="s">
        <v>228</v>
      </c>
      <c r="E74" s="801" t="e">
        <f>'расчет по услугам'!#REF!</f>
        <v>#REF!</v>
      </c>
      <c r="F74" s="801"/>
      <c r="G74" s="306">
        <v>1</v>
      </c>
      <c r="H74" s="278" t="e">
        <f>E74*G74/#REF!</f>
        <v>#REF!</v>
      </c>
      <c r="I74" s="225">
        <v>48.984999999999999</v>
      </c>
      <c r="J74" s="307"/>
      <c r="K74" s="280" t="e">
        <f>I74*H74</f>
        <v>#REF!</v>
      </c>
      <c r="L74" s="249"/>
      <c r="M74" s="274"/>
      <c r="Q74" s="154" t="s">
        <v>14</v>
      </c>
      <c r="R74" s="155" t="s">
        <v>46</v>
      </c>
      <c r="S74" s="156">
        <f>4282*0.5/149*T74</f>
        <v>689.71812080536915</v>
      </c>
      <c r="T74" s="157">
        <f t="shared" ref="T74:T75" si="49">T73</f>
        <v>48</v>
      </c>
      <c r="U74" s="158">
        <v>1</v>
      </c>
      <c r="V74" s="159">
        <f>S74*U74/T74</f>
        <v>14.369127516778525</v>
      </c>
      <c r="W74" s="160">
        <v>48.984999999999999</v>
      </c>
      <c r="X74" s="30"/>
      <c r="Y74" s="46">
        <f>W74*V74</f>
        <v>703.87171140939597</v>
      </c>
      <c r="AA74" s="41">
        <v>3</v>
      </c>
      <c r="AB74" s="154" t="s">
        <v>14</v>
      </c>
      <c r="AC74" s="155" t="s">
        <v>46</v>
      </c>
      <c r="AD74" s="156">
        <f>4282*0.5/149*AE74</f>
        <v>1451.2818791946308</v>
      </c>
      <c r="AE74" s="157">
        <f t="shared" ref="AE74:AE75" si="50">AE73</f>
        <v>101</v>
      </c>
      <c r="AF74" s="158">
        <v>1</v>
      </c>
      <c r="AG74" s="161">
        <f>AD74*AF74/AE74</f>
        <v>14.369127516778523</v>
      </c>
      <c r="AH74" s="160">
        <v>48.984999999999999</v>
      </c>
      <c r="AI74" s="30"/>
      <c r="AJ74" s="46">
        <f>AH74*AG74</f>
        <v>703.87171140939597</v>
      </c>
      <c r="AK74" s="27"/>
      <c r="AL74" s="153"/>
      <c r="AM74" s="41">
        <v>3</v>
      </c>
      <c r="AN74" s="154" t="s">
        <v>14</v>
      </c>
      <c r="AO74" s="155" t="s">
        <v>46</v>
      </c>
      <c r="AP74" s="156">
        <f>4282*0.5</f>
        <v>2141</v>
      </c>
      <c r="AQ74" s="157">
        <f t="shared" ref="AQ74:AQ75" si="51">AQ73</f>
        <v>149</v>
      </c>
      <c r="AR74" s="158">
        <v>1</v>
      </c>
      <c r="AS74" s="161">
        <f>AP74*AR74/AQ74</f>
        <v>14.369127516778523</v>
      </c>
      <c r="AT74" s="160">
        <v>48.984999999999999</v>
      </c>
      <c r="AU74" s="30"/>
      <c r="AV74" s="46">
        <f>AT74*AS74</f>
        <v>703.87171140939597</v>
      </c>
      <c r="AW74" s="27"/>
      <c r="AY74" s="5">
        <f>AJ74*AE74</f>
        <v>71091.042852348997</v>
      </c>
      <c r="BA74" s="5">
        <f t="shared" si="47"/>
        <v>104876.88499999999</v>
      </c>
    </row>
    <row r="75" spans="1:55" ht="16.5" customHeight="1" thickBot="1">
      <c r="A75" s="746"/>
      <c r="B75" s="747"/>
      <c r="C75" s="279" t="s">
        <v>15</v>
      </c>
      <c r="D75" s="305" t="s">
        <v>228</v>
      </c>
      <c r="E75" s="801" t="e">
        <f>'расчет по услугам'!#REF!</f>
        <v>#REF!</v>
      </c>
      <c r="F75" s="801"/>
      <c r="G75" s="306">
        <v>1</v>
      </c>
      <c r="H75" s="278" t="e">
        <f>E75*G75/#REF!</f>
        <v>#REF!</v>
      </c>
      <c r="I75" s="225">
        <v>46.695</v>
      </c>
      <c r="J75" s="307"/>
      <c r="K75" s="280" t="e">
        <f>I75*H75</f>
        <v>#REF!</v>
      </c>
      <c r="L75" s="249"/>
      <c r="M75" s="274"/>
      <c r="Q75" s="154" t="s">
        <v>15</v>
      </c>
      <c r="R75" s="155" t="s">
        <v>46</v>
      </c>
      <c r="S75" s="156">
        <f>4282*0.5/149*T75</f>
        <v>689.71812080536915</v>
      </c>
      <c r="T75" s="157">
        <f t="shared" si="49"/>
        <v>48</v>
      </c>
      <c r="U75" s="158">
        <v>1</v>
      </c>
      <c r="V75" s="159">
        <f t="shared" ref="V75" si="52">S75*U75/T75</f>
        <v>14.369127516778525</v>
      </c>
      <c r="W75" s="160">
        <v>46.695</v>
      </c>
      <c r="X75" s="30"/>
      <c r="Y75" s="46">
        <f>W75*V75</f>
        <v>670.96640939597319</v>
      </c>
      <c r="AA75" s="41">
        <v>4</v>
      </c>
      <c r="AB75" s="154" t="s">
        <v>15</v>
      </c>
      <c r="AC75" s="155" t="s">
        <v>46</v>
      </c>
      <c r="AD75" s="156">
        <f>4282*0.5/149*AE75</f>
        <v>1451.2818791946308</v>
      </c>
      <c r="AE75" s="157">
        <f t="shared" si="50"/>
        <v>101</v>
      </c>
      <c r="AF75" s="158">
        <v>1</v>
      </c>
      <c r="AG75" s="161">
        <f t="shared" ref="AG75" si="53">AD75*AF75/AE75</f>
        <v>14.369127516778523</v>
      </c>
      <c r="AH75" s="160">
        <v>46.695</v>
      </c>
      <c r="AI75" s="30"/>
      <c r="AJ75" s="46">
        <f>AH75*AG75</f>
        <v>670.96640939597307</v>
      </c>
      <c r="AK75" s="27"/>
      <c r="AL75" s="153"/>
      <c r="AM75" s="41">
        <v>4</v>
      </c>
      <c r="AN75" s="154" t="s">
        <v>15</v>
      </c>
      <c r="AO75" s="155" t="s">
        <v>46</v>
      </c>
      <c r="AP75" s="156">
        <f>4282*0.5</f>
        <v>2141</v>
      </c>
      <c r="AQ75" s="157">
        <f t="shared" si="51"/>
        <v>149</v>
      </c>
      <c r="AR75" s="158">
        <v>1</v>
      </c>
      <c r="AS75" s="161">
        <f t="shared" ref="AS75" si="54">AP75*AR75/AQ75</f>
        <v>14.369127516778523</v>
      </c>
      <c r="AT75" s="160">
        <v>46.695</v>
      </c>
      <c r="AU75" s="30"/>
      <c r="AV75" s="46">
        <f>AT75*AS75</f>
        <v>670.96640939597307</v>
      </c>
      <c r="AW75" s="27"/>
      <c r="AY75" s="5">
        <f>AJ75*AE75</f>
        <v>67767.607348993275</v>
      </c>
      <c r="AZ75" s="5">
        <v>409702.96</v>
      </c>
      <c r="BA75" s="5">
        <f t="shared" si="47"/>
        <v>99973.994999999995</v>
      </c>
      <c r="BB75" s="5">
        <f>AZ75-AY74-AY75-BA74-BA75</f>
        <v>65993.429798657773</v>
      </c>
    </row>
    <row r="76" spans="1:55" ht="15.75" hidden="1" customHeight="1" thickBot="1">
      <c r="A76" s="746"/>
      <c r="B76" s="747"/>
      <c r="C76" s="802"/>
      <c r="D76" s="802"/>
      <c r="E76" s="802"/>
      <c r="F76" s="802"/>
      <c r="G76" s="802"/>
      <c r="H76" s="802"/>
      <c r="I76" s="802"/>
      <c r="J76" s="802"/>
      <c r="K76" s="308" t="e">
        <f>SUM(K72:K75)</f>
        <v>#REF!</v>
      </c>
      <c r="L76" s="249"/>
      <c r="M76" s="275"/>
      <c r="Q76" s="68"/>
      <c r="R76" s="68"/>
      <c r="S76" s="68"/>
      <c r="T76" s="68"/>
      <c r="U76" s="68"/>
      <c r="V76" s="68"/>
      <c r="W76" s="68"/>
      <c r="X76" s="68"/>
      <c r="Y76" s="163">
        <f>SUM(Y72:Y75)</f>
        <v>5958.5203957046979</v>
      </c>
      <c r="AA76" s="803" t="s">
        <v>27</v>
      </c>
      <c r="AB76" s="804"/>
      <c r="AC76" s="804"/>
      <c r="AD76" s="804"/>
      <c r="AE76" s="804"/>
      <c r="AF76" s="804"/>
      <c r="AG76" s="804"/>
      <c r="AH76" s="804"/>
      <c r="AI76" s="805"/>
      <c r="AJ76" s="163">
        <f>SUM(AJ72:AJ75)</f>
        <v>5958.5203957046979</v>
      </c>
      <c r="AK76" s="27"/>
      <c r="AL76" s="162"/>
      <c r="AM76" s="803" t="s">
        <v>27</v>
      </c>
      <c r="AN76" s="804"/>
      <c r="AO76" s="804"/>
      <c r="AP76" s="804"/>
      <c r="AQ76" s="804"/>
      <c r="AR76" s="804"/>
      <c r="AS76" s="804"/>
      <c r="AT76" s="804"/>
      <c r="AU76" s="805"/>
      <c r="AV76" s="163">
        <f>SUM(AV72:AV75)</f>
        <v>5958.5203957046979</v>
      </c>
      <c r="AW76" s="27"/>
      <c r="AY76" s="164">
        <f>SUM(AY72:AY75)</f>
        <v>601810.55996617454</v>
      </c>
      <c r="AZ76" s="165">
        <f>2043459-267818.68</f>
        <v>1775640.32</v>
      </c>
      <c r="BA76" s="17">
        <f>SUM(BA72:BA75)</f>
        <v>887819.53895999992</v>
      </c>
    </row>
    <row r="77" spans="1:55" ht="36" customHeight="1" thickBot="1">
      <c r="A77" s="746"/>
      <c r="B77" s="747"/>
      <c r="C77" s="749" t="s">
        <v>229</v>
      </c>
      <c r="D77" s="749"/>
      <c r="E77" s="749"/>
      <c r="F77" s="749"/>
      <c r="G77" s="749"/>
      <c r="H77" s="749"/>
      <c r="I77" s="749"/>
      <c r="J77" s="749"/>
      <c r="K77" s="749"/>
      <c r="L77" s="749"/>
      <c r="M77" s="152"/>
      <c r="Q77" s="68"/>
      <c r="R77" s="68"/>
      <c r="S77" s="68"/>
      <c r="T77" s="68"/>
      <c r="U77" s="68"/>
      <c r="V77" s="68"/>
      <c r="W77" s="68"/>
      <c r="X77" s="68"/>
      <c r="Y77" s="68"/>
      <c r="AA77" s="806" t="s">
        <v>68</v>
      </c>
      <c r="AB77" s="807"/>
      <c r="AC77" s="807"/>
      <c r="AD77" s="807"/>
      <c r="AE77" s="807"/>
      <c r="AF77" s="807"/>
      <c r="AG77" s="807"/>
      <c r="AH77" s="807"/>
      <c r="AI77" s="807"/>
      <c r="AJ77" s="807"/>
      <c r="AK77" s="808"/>
      <c r="AL77" s="152"/>
      <c r="AM77" s="806" t="s">
        <v>68</v>
      </c>
      <c r="AN77" s="807"/>
      <c r="AO77" s="807"/>
      <c r="AP77" s="807"/>
      <c r="AQ77" s="807"/>
      <c r="AR77" s="807"/>
      <c r="AS77" s="807"/>
      <c r="AT77" s="807"/>
      <c r="AU77" s="807"/>
      <c r="AV77" s="807"/>
      <c r="AW77" s="808"/>
      <c r="AY77" s="17">
        <f>(AJ76+AV76)*149</f>
        <v>1775639.0779200001</v>
      </c>
      <c r="AZ77" s="17">
        <f>AZ76/2</f>
        <v>887820.16</v>
      </c>
      <c r="BA77" s="166">
        <f>AY77-AZ77</f>
        <v>887818.91792000004</v>
      </c>
      <c r="BC77" s="24">
        <f>AZ77-AY77</f>
        <v>-887818.91792000004</v>
      </c>
    </row>
    <row r="78" spans="1:55" ht="51.75">
      <c r="A78" s="746"/>
      <c r="B78" s="747"/>
      <c r="C78" s="235" t="e">
        <f>'расчет по услугам'!#REF!</f>
        <v>#REF!</v>
      </c>
      <c r="D78" s="292" t="s">
        <v>130</v>
      </c>
      <c r="E78" s="753" t="e">
        <f>'расчет по услугам'!#REF!</f>
        <v>#REF!</v>
      </c>
      <c r="F78" s="753"/>
      <c r="G78" s="306">
        <v>1</v>
      </c>
      <c r="H78" s="309" t="e">
        <f>F78*G78/#REF!</f>
        <v>#REF!</v>
      </c>
      <c r="I78" s="225">
        <v>81890</v>
      </c>
      <c r="J78" s="307"/>
      <c r="K78" s="280" t="e">
        <f>I78*H78</f>
        <v>#REF!</v>
      </c>
      <c r="L78" s="249"/>
      <c r="M78" s="274"/>
      <c r="Q78" s="167" t="s">
        <v>17</v>
      </c>
      <c r="R78" s="168" t="s">
        <v>53</v>
      </c>
      <c r="S78" s="169">
        <f t="shared" ref="S78:S85" si="55">1/2/149*T78</f>
        <v>0.16107382550335569</v>
      </c>
      <c r="T78" s="157">
        <v>48</v>
      </c>
      <c r="U78" s="158">
        <v>1</v>
      </c>
      <c r="V78" s="159">
        <f>S78*U78/T78</f>
        <v>3.3557046979865771E-3</v>
      </c>
      <c r="W78" s="160">
        <v>81890</v>
      </c>
      <c r="X78" s="30"/>
      <c r="Y78" s="46">
        <f>W78*V78</f>
        <v>274.79865771812081</v>
      </c>
      <c r="AA78" s="41">
        <v>1</v>
      </c>
      <c r="AB78" s="167" t="s">
        <v>17</v>
      </c>
      <c r="AC78" s="168" t="s">
        <v>53</v>
      </c>
      <c r="AD78" s="169">
        <f t="shared" ref="AD78:AD85" si="56">1/2/149*AE78</f>
        <v>0.33892617449664431</v>
      </c>
      <c r="AE78" s="157">
        <v>101</v>
      </c>
      <c r="AF78" s="158">
        <v>1</v>
      </c>
      <c r="AG78" s="170">
        <f>AD78*AF78/AE78</f>
        <v>3.3557046979865771E-3</v>
      </c>
      <c r="AH78" s="160">
        <v>81890</v>
      </c>
      <c r="AI78" s="30"/>
      <c r="AJ78" s="46">
        <f>AH78*AG78</f>
        <v>274.79865771812081</v>
      </c>
      <c r="AK78" s="27"/>
      <c r="AL78" s="153"/>
      <c r="AM78" s="41">
        <v>1</v>
      </c>
      <c r="AN78" s="167" t="s">
        <v>17</v>
      </c>
      <c r="AO78" s="168" t="s">
        <v>53</v>
      </c>
      <c r="AP78" s="169">
        <f>1/2</f>
        <v>0.5</v>
      </c>
      <c r="AQ78" s="157">
        <v>149</v>
      </c>
      <c r="AR78" s="158">
        <v>1</v>
      </c>
      <c r="AS78" s="170">
        <f>AP78*AR78/AQ78</f>
        <v>3.3557046979865771E-3</v>
      </c>
      <c r="AT78" s="160">
        <v>81890</v>
      </c>
      <c r="AU78" s="30"/>
      <c r="AV78" s="46">
        <f>AT78*AS78</f>
        <v>274.79865771812081</v>
      </c>
      <c r="AW78" s="27"/>
      <c r="AY78" s="17">
        <f t="shared" ref="AY78:AY86" si="57">AJ78*149</f>
        <v>40945</v>
      </c>
      <c r="AZ78" s="24">
        <f>AZ77-BA76</f>
        <v>0.62104000011458993</v>
      </c>
      <c r="BA78" s="5">
        <f>AP78*AT78</f>
        <v>40945</v>
      </c>
    </row>
    <row r="79" spans="1:55" ht="15.75">
      <c r="A79" s="746"/>
      <c r="B79" s="747"/>
      <c r="C79" s="235" t="e">
        <f>'расчет по услугам'!#REF!</f>
        <v>#REF!</v>
      </c>
      <c r="D79" s="292" t="s">
        <v>130</v>
      </c>
      <c r="E79" s="753" t="e">
        <f>'расчет по услугам'!#REF!</f>
        <v>#REF!</v>
      </c>
      <c r="F79" s="753"/>
      <c r="G79" s="191">
        <v>1</v>
      </c>
      <c r="H79" s="192" t="e">
        <f>F79*G79/#REF!</f>
        <v>#REF!</v>
      </c>
      <c r="I79" s="310">
        <v>150000</v>
      </c>
      <c r="J79" s="204"/>
      <c r="K79" s="195" t="e">
        <f t="shared" ref="K79:K86" si="58">I79*H79</f>
        <v>#REF!</v>
      </c>
      <c r="L79" s="205"/>
      <c r="M79" s="274"/>
      <c r="Q79" s="167" t="s">
        <v>18</v>
      </c>
      <c r="R79" s="168" t="s">
        <v>53</v>
      </c>
      <c r="S79" s="169">
        <f t="shared" si="55"/>
        <v>0.16107382550335569</v>
      </c>
      <c r="T79" s="157">
        <f>T78</f>
        <v>48</v>
      </c>
      <c r="U79" s="158">
        <v>1</v>
      </c>
      <c r="V79" s="159">
        <f>S79*U79/T79</f>
        <v>3.3557046979865771E-3</v>
      </c>
      <c r="W79" s="160">
        <v>150000</v>
      </c>
      <c r="X79" s="30"/>
      <c r="Y79" s="46">
        <f t="shared" ref="Y79:Y86" si="59">W79*V79</f>
        <v>503.35570469798654</v>
      </c>
      <c r="AA79" s="41">
        <v>2</v>
      </c>
      <c r="AB79" s="167" t="s">
        <v>18</v>
      </c>
      <c r="AC79" s="168" t="s">
        <v>53</v>
      </c>
      <c r="AD79" s="169">
        <f t="shared" si="56"/>
        <v>0.33892617449664431</v>
      </c>
      <c r="AE79" s="157">
        <f>AE78</f>
        <v>101</v>
      </c>
      <c r="AF79" s="158">
        <v>1</v>
      </c>
      <c r="AG79" s="170">
        <f>AD79*AF79/AE79</f>
        <v>3.3557046979865771E-3</v>
      </c>
      <c r="AH79" s="160">
        <v>150000</v>
      </c>
      <c r="AI79" s="30"/>
      <c r="AJ79" s="46">
        <f t="shared" ref="AJ79:AJ86" si="60">AH79*AG79</f>
        <v>503.35570469798654</v>
      </c>
      <c r="AK79" s="27"/>
      <c r="AL79" s="153"/>
      <c r="AM79" s="41">
        <v>2</v>
      </c>
      <c r="AN79" s="167" t="s">
        <v>18</v>
      </c>
      <c r="AO79" s="168" t="s">
        <v>53</v>
      </c>
      <c r="AP79" s="169">
        <f t="shared" ref="AP79:AP85" si="61">1/2</f>
        <v>0.5</v>
      </c>
      <c r="AQ79" s="157">
        <f>AQ78</f>
        <v>149</v>
      </c>
      <c r="AR79" s="158">
        <v>1</v>
      </c>
      <c r="AS79" s="170">
        <f>AP79*AR79/AQ79</f>
        <v>3.3557046979865771E-3</v>
      </c>
      <c r="AT79" s="160">
        <v>150000</v>
      </c>
      <c r="AU79" s="30"/>
      <c r="AV79" s="46">
        <f t="shared" ref="AV79:AV86" si="62">AT79*AS79</f>
        <v>503.35570469798654</v>
      </c>
      <c r="AW79" s="27"/>
      <c r="AY79" s="171">
        <f t="shared" si="57"/>
        <v>75000</v>
      </c>
      <c r="AZ79" s="172">
        <f>AY79+BA79</f>
        <v>150000</v>
      </c>
      <c r="BA79" s="173">
        <f>AP79*AT79</f>
        <v>75000</v>
      </c>
      <c r="BB79" s="5" t="s">
        <v>230</v>
      </c>
    </row>
    <row r="80" spans="1:55" ht="15.75">
      <c r="A80" s="746"/>
      <c r="B80" s="747"/>
      <c r="C80" s="235" t="e">
        <f>'расчет по услугам'!#REF!</f>
        <v>#REF!</v>
      </c>
      <c r="D80" s="292" t="s">
        <v>130</v>
      </c>
      <c r="E80" s="753" t="e">
        <f>'расчет по услугам'!#REF!</f>
        <v>#REF!</v>
      </c>
      <c r="F80" s="753"/>
      <c r="G80" s="191">
        <v>1</v>
      </c>
      <c r="H80" s="192" t="e">
        <f>F80*G80/#REF!</f>
        <v>#REF!</v>
      </c>
      <c r="I80" s="257">
        <v>30000</v>
      </c>
      <c r="J80" s="204"/>
      <c r="K80" s="195" t="e">
        <f t="shared" si="58"/>
        <v>#REF!</v>
      </c>
      <c r="L80" s="205"/>
      <c r="M80" s="274"/>
      <c r="Q80" s="167" t="s">
        <v>120</v>
      </c>
      <c r="R80" s="168" t="s">
        <v>53</v>
      </c>
      <c r="S80" s="169">
        <f t="shared" si="55"/>
        <v>0.16107382550335569</v>
      </c>
      <c r="T80" s="157">
        <f t="shared" ref="T80:T86" si="63">T79</f>
        <v>48</v>
      </c>
      <c r="U80" s="158">
        <v>1</v>
      </c>
      <c r="V80" s="159">
        <f t="shared" ref="V80:V86" si="64">S80*U80/T80</f>
        <v>3.3557046979865771E-3</v>
      </c>
      <c r="W80" s="174">
        <v>30000</v>
      </c>
      <c r="X80" s="30"/>
      <c r="Y80" s="46">
        <f t="shared" si="59"/>
        <v>100.67114093959731</v>
      </c>
      <c r="AA80" s="41">
        <v>3</v>
      </c>
      <c r="AB80" s="167" t="s">
        <v>120</v>
      </c>
      <c r="AC80" s="168" t="s">
        <v>53</v>
      </c>
      <c r="AD80" s="169">
        <f t="shared" si="56"/>
        <v>0.33892617449664431</v>
      </c>
      <c r="AE80" s="157">
        <f t="shared" ref="AE80:AE86" si="65">AE79</f>
        <v>101</v>
      </c>
      <c r="AF80" s="158">
        <v>1</v>
      </c>
      <c r="AG80" s="170">
        <f t="shared" ref="AG80:AG86" si="66">AD80*AF80/AE80</f>
        <v>3.3557046979865771E-3</v>
      </c>
      <c r="AH80" s="174">
        <v>30000</v>
      </c>
      <c r="AI80" s="30"/>
      <c r="AJ80" s="46">
        <f t="shared" si="60"/>
        <v>100.67114093959731</v>
      </c>
      <c r="AK80" s="27"/>
      <c r="AL80" s="153"/>
      <c r="AM80" s="41">
        <v>3</v>
      </c>
      <c r="AN80" s="167" t="s">
        <v>120</v>
      </c>
      <c r="AO80" s="168" t="s">
        <v>53</v>
      </c>
      <c r="AP80" s="169">
        <f t="shared" si="61"/>
        <v>0.5</v>
      </c>
      <c r="AQ80" s="157">
        <f t="shared" ref="AQ80:AQ86" si="67">AQ79</f>
        <v>149</v>
      </c>
      <c r="AR80" s="158">
        <v>1</v>
      </c>
      <c r="AS80" s="170">
        <f t="shared" ref="AS80:AS86" si="68">AP80*AR80/AQ80</f>
        <v>3.3557046979865771E-3</v>
      </c>
      <c r="AT80" s="174">
        <v>30000</v>
      </c>
      <c r="AU80" s="30"/>
      <c r="AV80" s="46">
        <f t="shared" si="62"/>
        <v>100.67114093959731</v>
      </c>
      <c r="AW80" s="27"/>
      <c r="AY80" s="17">
        <f t="shared" si="57"/>
        <v>14999.999999999998</v>
      </c>
      <c r="AZ80" s="172">
        <f t="shared" ref="AZ80:AZ85" si="69">AY80+BA80</f>
        <v>30000</v>
      </c>
      <c r="BA80" s="5">
        <f t="shared" ref="BA80:BA86" si="70">AP80*AT80</f>
        <v>15000</v>
      </c>
    </row>
    <row r="81" spans="1:54" ht="15.75">
      <c r="A81" s="746"/>
      <c r="B81" s="747"/>
      <c r="C81" s="235" t="e">
        <f>'расчет по услугам'!#REF!</f>
        <v>#REF!</v>
      </c>
      <c r="D81" s="292" t="s">
        <v>130</v>
      </c>
      <c r="E81" s="753" t="e">
        <f>'расчет по услугам'!#REF!</f>
        <v>#REF!</v>
      </c>
      <c r="F81" s="753"/>
      <c r="G81" s="191"/>
      <c r="H81" s="192"/>
      <c r="I81" s="257"/>
      <c r="J81" s="204"/>
      <c r="K81" s="195"/>
      <c r="L81" s="205"/>
      <c r="M81" s="274"/>
      <c r="Q81" s="258"/>
      <c r="R81" s="259"/>
      <c r="S81" s="260"/>
      <c r="T81" s="228"/>
      <c r="U81" s="191"/>
      <c r="V81" s="245"/>
      <c r="W81" s="257"/>
      <c r="X81" s="204"/>
      <c r="Y81" s="195"/>
      <c r="AA81" s="261"/>
      <c r="AB81" s="258"/>
      <c r="AC81" s="259"/>
      <c r="AD81" s="260"/>
      <c r="AE81" s="228"/>
      <c r="AF81" s="191"/>
      <c r="AG81" s="192"/>
      <c r="AH81" s="257"/>
      <c r="AI81" s="204"/>
      <c r="AJ81" s="195"/>
      <c r="AK81" s="205"/>
      <c r="AL81" s="197"/>
      <c r="AM81" s="261"/>
      <c r="AN81" s="258"/>
      <c r="AO81" s="259"/>
      <c r="AP81" s="260"/>
      <c r="AQ81" s="228"/>
      <c r="AR81" s="191"/>
      <c r="AS81" s="192"/>
      <c r="AT81" s="257"/>
      <c r="AU81" s="204"/>
      <c r="AV81" s="195"/>
      <c r="AW81" s="205"/>
      <c r="AY81" s="17"/>
      <c r="AZ81" s="232"/>
    </row>
    <row r="82" spans="1:54" ht="15.75">
      <c r="A82" s="746"/>
      <c r="B82" s="747"/>
      <c r="C82" s="235" t="e">
        <f>'расчет по услугам'!#REF!</f>
        <v>#REF!</v>
      </c>
      <c r="D82" s="292" t="s">
        <v>130</v>
      </c>
      <c r="E82" s="753" t="e">
        <f>'расчет по услугам'!#REF!</f>
        <v>#REF!</v>
      </c>
      <c r="F82" s="753"/>
      <c r="G82" s="191"/>
      <c r="H82" s="192"/>
      <c r="I82" s="257"/>
      <c r="J82" s="204"/>
      <c r="K82" s="195"/>
      <c r="L82" s="205"/>
      <c r="M82" s="274"/>
      <c r="Q82" s="258"/>
      <c r="R82" s="259"/>
      <c r="S82" s="260"/>
      <c r="T82" s="228"/>
      <c r="U82" s="191"/>
      <c r="V82" s="245"/>
      <c r="W82" s="257"/>
      <c r="X82" s="204"/>
      <c r="Y82" s="195"/>
      <c r="AA82" s="261"/>
      <c r="AB82" s="258"/>
      <c r="AC82" s="259"/>
      <c r="AD82" s="260"/>
      <c r="AE82" s="228"/>
      <c r="AF82" s="191"/>
      <c r="AG82" s="192"/>
      <c r="AH82" s="257"/>
      <c r="AI82" s="204"/>
      <c r="AJ82" s="195"/>
      <c r="AK82" s="205"/>
      <c r="AL82" s="197"/>
      <c r="AM82" s="261"/>
      <c r="AN82" s="258"/>
      <c r="AO82" s="259"/>
      <c r="AP82" s="260"/>
      <c r="AQ82" s="228"/>
      <c r="AR82" s="191"/>
      <c r="AS82" s="192"/>
      <c r="AT82" s="257"/>
      <c r="AU82" s="204"/>
      <c r="AV82" s="195"/>
      <c r="AW82" s="205"/>
      <c r="AY82" s="17"/>
      <c r="AZ82" s="232"/>
    </row>
    <row r="83" spans="1:54" ht="15.75">
      <c r="A83" s="746"/>
      <c r="B83" s="747"/>
      <c r="C83" s="235" t="e">
        <f>'расчет по услугам'!#REF!</f>
        <v>#REF!</v>
      </c>
      <c r="D83" s="292" t="s">
        <v>130</v>
      </c>
      <c r="E83" s="753" t="e">
        <f>'расчет по услугам'!#REF!</f>
        <v>#REF!</v>
      </c>
      <c r="F83" s="753"/>
      <c r="G83" s="191">
        <v>1</v>
      </c>
      <c r="H83" s="192" t="e">
        <f>F83*G83/#REF!</f>
        <v>#REF!</v>
      </c>
      <c r="I83" s="310">
        <v>300000</v>
      </c>
      <c r="J83" s="204"/>
      <c r="K83" s="195" t="e">
        <f t="shared" si="58"/>
        <v>#REF!</v>
      </c>
      <c r="L83" s="205"/>
      <c r="M83" s="274"/>
      <c r="Q83" s="167" t="s">
        <v>93</v>
      </c>
      <c r="R83" s="168" t="s">
        <v>53</v>
      </c>
      <c r="S83" s="169">
        <f t="shared" si="55"/>
        <v>0.16107382550335569</v>
      </c>
      <c r="T83" s="157">
        <f>T80</f>
        <v>48</v>
      </c>
      <c r="U83" s="158">
        <v>1</v>
      </c>
      <c r="V83" s="159">
        <f t="shared" si="64"/>
        <v>3.3557046979865771E-3</v>
      </c>
      <c r="W83" s="160">
        <v>300000</v>
      </c>
      <c r="X83" s="30"/>
      <c r="Y83" s="46">
        <f t="shared" si="59"/>
        <v>1006.7114093959731</v>
      </c>
      <c r="AA83" s="41">
        <v>4</v>
      </c>
      <c r="AB83" s="167" t="s">
        <v>93</v>
      </c>
      <c r="AC83" s="168" t="s">
        <v>53</v>
      </c>
      <c r="AD83" s="169">
        <f t="shared" si="56"/>
        <v>0.33892617449664431</v>
      </c>
      <c r="AE83" s="157">
        <f>AE80</f>
        <v>101</v>
      </c>
      <c r="AF83" s="158">
        <v>1</v>
      </c>
      <c r="AG83" s="170">
        <f t="shared" si="66"/>
        <v>3.3557046979865771E-3</v>
      </c>
      <c r="AH83" s="160">
        <v>300000</v>
      </c>
      <c r="AI83" s="30"/>
      <c r="AJ83" s="46">
        <f t="shared" si="60"/>
        <v>1006.7114093959731</v>
      </c>
      <c r="AK83" s="27"/>
      <c r="AL83" s="153"/>
      <c r="AM83" s="41">
        <v>4</v>
      </c>
      <c r="AN83" s="167" t="s">
        <v>93</v>
      </c>
      <c r="AO83" s="168" t="s">
        <v>53</v>
      </c>
      <c r="AP83" s="169">
        <f t="shared" si="61"/>
        <v>0.5</v>
      </c>
      <c r="AQ83" s="157">
        <f>AQ80</f>
        <v>149</v>
      </c>
      <c r="AR83" s="158">
        <v>1</v>
      </c>
      <c r="AS83" s="170">
        <f t="shared" si="68"/>
        <v>3.3557046979865771E-3</v>
      </c>
      <c r="AT83" s="160">
        <v>300000</v>
      </c>
      <c r="AU83" s="30"/>
      <c r="AV83" s="46">
        <f t="shared" si="62"/>
        <v>1006.7114093959731</v>
      </c>
      <c r="AW83" s="27"/>
      <c r="AY83" s="17">
        <f t="shared" si="57"/>
        <v>150000</v>
      </c>
      <c r="AZ83" s="172">
        <f t="shared" si="69"/>
        <v>300000</v>
      </c>
      <c r="BA83" s="5">
        <f t="shared" si="70"/>
        <v>150000</v>
      </c>
    </row>
    <row r="84" spans="1:54" ht="15.75">
      <c r="A84" s="746"/>
      <c r="B84" s="747"/>
      <c r="C84" s="235" t="e">
        <f>'расчет по услугам'!#REF!</f>
        <v>#REF!</v>
      </c>
      <c r="D84" s="292" t="s">
        <v>130</v>
      </c>
      <c r="E84" s="753" t="e">
        <f>'расчет по услугам'!#REF!</f>
        <v>#REF!</v>
      </c>
      <c r="F84" s="753"/>
      <c r="G84" s="191">
        <v>1</v>
      </c>
      <c r="H84" s="192" t="e">
        <f>F84*G84/#REF!</f>
        <v>#REF!</v>
      </c>
      <c r="I84" s="310">
        <v>32600</v>
      </c>
      <c r="J84" s="204"/>
      <c r="K84" s="195" t="e">
        <f t="shared" si="58"/>
        <v>#REF!</v>
      </c>
      <c r="L84" s="205"/>
      <c r="M84" s="274"/>
      <c r="Q84" s="167" t="s">
        <v>19</v>
      </c>
      <c r="R84" s="168" t="s">
        <v>53</v>
      </c>
      <c r="S84" s="169">
        <f t="shared" si="55"/>
        <v>0.16107382550335569</v>
      </c>
      <c r="T84" s="157">
        <v>48</v>
      </c>
      <c r="U84" s="158">
        <v>1</v>
      </c>
      <c r="V84" s="159">
        <f t="shared" si="64"/>
        <v>3.3557046979865771E-3</v>
      </c>
      <c r="W84" s="160">
        <v>32600</v>
      </c>
      <c r="X84" s="30"/>
      <c r="Y84" s="46">
        <f t="shared" si="59"/>
        <v>109.39597315436241</v>
      </c>
      <c r="AA84" s="41">
        <v>5</v>
      </c>
      <c r="AB84" s="167" t="s">
        <v>19</v>
      </c>
      <c r="AC84" s="168" t="s">
        <v>53</v>
      </c>
      <c r="AD84" s="169">
        <f t="shared" si="56"/>
        <v>0.33892617449664431</v>
      </c>
      <c r="AE84" s="157">
        <v>101</v>
      </c>
      <c r="AF84" s="158">
        <v>1</v>
      </c>
      <c r="AG84" s="170">
        <f t="shared" si="66"/>
        <v>3.3557046979865771E-3</v>
      </c>
      <c r="AH84" s="160">
        <v>32600</v>
      </c>
      <c r="AI84" s="30"/>
      <c r="AJ84" s="46">
        <f t="shared" si="60"/>
        <v>109.39597315436241</v>
      </c>
      <c r="AK84" s="27"/>
      <c r="AL84" s="153"/>
      <c r="AM84" s="41">
        <v>5</v>
      </c>
      <c r="AN84" s="167" t="s">
        <v>19</v>
      </c>
      <c r="AO84" s="168" t="s">
        <v>53</v>
      </c>
      <c r="AP84" s="169">
        <f t="shared" si="61"/>
        <v>0.5</v>
      </c>
      <c r="AQ84" s="157">
        <f t="shared" si="67"/>
        <v>149</v>
      </c>
      <c r="AR84" s="158">
        <v>1</v>
      </c>
      <c r="AS84" s="170">
        <f t="shared" si="68"/>
        <v>3.3557046979865771E-3</v>
      </c>
      <c r="AT84" s="160">
        <v>32600</v>
      </c>
      <c r="AU84" s="30"/>
      <c r="AV84" s="46">
        <f t="shared" si="62"/>
        <v>109.39597315436241</v>
      </c>
      <c r="AW84" s="27"/>
      <c r="AY84" s="17">
        <f t="shared" si="57"/>
        <v>16299.999999999998</v>
      </c>
      <c r="AZ84" s="172">
        <f t="shared" si="69"/>
        <v>32600</v>
      </c>
      <c r="BA84" s="5">
        <f t="shared" si="70"/>
        <v>16300</v>
      </c>
    </row>
    <row r="85" spans="1:54" ht="15.75">
      <c r="A85" s="746"/>
      <c r="B85" s="747"/>
      <c r="C85" s="235" t="e">
        <f>'расчет по услугам'!#REF!</f>
        <v>#REF!</v>
      </c>
      <c r="D85" s="292" t="s">
        <v>130</v>
      </c>
      <c r="E85" s="753" t="e">
        <f>'расчет по услугам'!#REF!</f>
        <v>#REF!</v>
      </c>
      <c r="F85" s="753"/>
      <c r="G85" s="191">
        <v>1</v>
      </c>
      <c r="H85" s="192" t="e">
        <f>F85*G85/#REF!</f>
        <v>#REF!</v>
      </c>
      <c r="I85" s="310">
        <v>50000</v>
      </c>
      <c r="J85" s="204"/>
      <c r="K85" s="195" t="e">
        <f t="shared" si="58"/>
        <v>#REF!</v>
      </c>
      <c r="L85" s="205"/>
      <c r="M85" s="274"/>
      <c r="Q85" s="167" t="s">
        <v>113</v>
      </c>
      <c r="R85" s="168" t="s">
        <v>53</v>
      </c>
      <c r="S85" s="169">
        <f t="shared" si="55"/>
        <v>0.16107382550335569</v>
      </c>
      <c r="T85" s="157">
        <f t="shared" si="63"/>
        <v>48</v>
      </c>
      <c r="U85" s="158">
        <v>1</v>
      </c>
      <c r="V85" s="159">
        <f t="shared" si="64"/>
        <v>3.3557046979865771E-3</v>
      </c>
      <c r="W85" s="160">
        <v>50000</v>
      </c>
      <c r="X85" s="30"/>
      <c r="Y85" s="46">
        <f t="shared" si="59"/>
        <v>167.78523489932886</v>
      </c>
      <c r="AA85" s="41">
        <v>6</v>
      </c>
      <c r="AB85" s="167" t="s">
        <v>113</v>
      </c>
      <c r="AC85" s="168" t="s">
        <v>53</v>
      </c>
      <c r="AD85" s="169">
        <f t="shared" si="56"/>
        <v>0.33892617449664431</v>
      </c>
      <c r="AE85" s="157">
        <f t="shared" si="65"/>
        <v>101</v>
      </c>
      <c r="AF85" s="158">
        <v>1</v>
      </c>
      <c r="AG85" s="170">
        <f t="shared" si="66"/>
        <v>3.3557046979865771E-3</v>
      </c>
      <c r="AH85" s="160">
        <v>50000</v>
      </c>
      <c r="AI85" s="30"/>
      <c r="AJ85" s="46">
        <f t="shared" si="60"/>
        <v>167.78523489932886</v>
      </c>
      <c r="AK85" s="27"/>
      <c r="AL85" s="153"/>
      <c r="AM85" s="41">
        <v>6</v>
      </c>
      <c r="AN85" s="167" t="s">
        <v>113</v>
      </c>
      <c r="AO85" s="168" t="s">
        <v>53</v>
      </c>
      <c r="AP85" s="169">
        <f t="shared" si="61"/>
        <v>0.5</v>
      </c>
      <c r="AQ85" s="157">
        <f t="shared" si="67"/>
        <v>149</v>
      </c>
      <c r="AR85" s="158">
        <v>1</v>
      </c>
      <c r="AS85" s="170">
        <f t="shared" si="68"/>
        <v>3.3557046979865771E-3</v>
      </c>
      <c r="AT85" s="160">
        <v>50000</v>
      </c>
      <c r="AU85" s="30"/>
      <c r="AV85" s="46">
        <f t="shared" si="62"/>
        <v>167.78523489932886</v>
      </c>
      <c r="AW85" s="27"/>
      <c r="AY85" s="17">
        <f t="shared" si="57"/>
        <v>25000</v>
      </c>
      <c r="AZ85" s="172">
        <f t="shared" si="69"/>
        <v>50000</v>
      </c>
      <c r="BA85" s="5">
        <f t="shared" si="70"/>
        <v>25000</v>
      </c>
    </row>
    <row r="86" spans="1:54" ht="77.25">
      <c r="A86" s="746"/>
      <c r="B86" s="747"/>
      <c r="C86" s="235" t="e">
        <f>'расчет по услугам'!#REF!</f>
        <v>#REF!</v>
      </c>
      <c r="D86" s="292" t="s">
        <v>130</v>
      </c>
      <c r="E86" s="753" t="e">
        <f>'расчет по услугам'!#REF!</f>
        <v>#REF!</v>
      </c>
      <c r="F86" s="753"/>
      <c r="G86" s="191">
        <v>1</v>
      </c>
      <c r="H86" s="192" t="e">
        <f>F86*G86/#REF!</f>
        <v>#REF!</v>
      </c>
      <c r="I86" s="310">
        <f>(40000+20000+20000+60000)/4</f>
        <v>35000</v>
      </c>
      <c r="J86" s="204"/>
      <c r="K86" s="195" t="e">
        <f t="shared" si="58"/>
        <v>#REF!</v>
      </c>
      <c r="L86" s="205"/>
      <c r="M86" s="274"/>
      <c r="Q86" s="167" t="s">
        <v>112</v>
      </c>
      <c r="R86" s="168" t="s">
        <v>53</v>
      </c>
      <c r="S86" s="169">
        <f>4/2/149*T86</f>
        <v>0.64429530201342278</v>
      </c>
      <c r="T86" s="157">
        <f t="shared" si="63"/>
        <v>48</v>
      </c>
      <c r="U86" s="158">
        <v>1</v>
      </c>
      <c r="V86" s="159">
        <f t="shared" si="64"/>
        <v>1.3422818791946308E-2</v>
      </c>
      <c r="W86" s="160">
        <f>(40000+20000+20000+60000)/4</f>
        <v>35000</v>
      </c>
      <c r="X86" s="30"/>
      <c r="Y86" s="46">
        <f t="shared" si="59"/>
        <v>469.79865771812081</v>
      </c>
      <c r="AA86" s="41">
        <v>7</v>
      </c>
      <c r="AB86" s="167" t="s">
        <v>112</v>
      </c>
      <c r="AC86" s="168" t="s">
        <v>53</v>
      </c>
      <c r="AD86" s="169">
        <f>4/2/149*AE86</f>
        <v>1.3557046979865772</v>
      </c>
      <c r="AE86" s="157">
        <f t="shared" si="65"/>
        <v>101</v>
      </c>
      <c r="AF86" s="158">
        <v>1</v>
      </c>
      <c r="AG86" s="170">
        <f t="shared" si="66"/>
        <v>1.3422818791946308E-2</v>
      </c>
      <c r="AH86" s="160">
        <f>(40000+20000+20000+60000)/4</f>
        <v>35000</v>
      </c>
      <c r="AI86" s="30"/>
      <c r="AJ86" s="46">
        <f t="shared" si="60"/>
        <v>469.79865771812081</v>
      </c>
      <c r="AK86" s="27"/>
      <c r="AL86" s="153"/>
      <c r="AM86" s="41">
        <v>7</v>
      </c>
      <c r="AN86" s="167" t="s">
        <v>112</v>
      </c>
      <c r="AO86" s="168" t="s">
        <v>53</v>
      </c>
      <c r="AP86" s="169">
        <f>4/2</f>
        <v>2</v>
      </c>
      <c r="AQ86" s="157">
        <f t="shared" si="67"/>
        <v>149</v>
      </c>
      <c r="AR86" s="158">
        <v>1</v>
      </c>
      <c r="AS86" s="170">
        <f t="shared" si="68"/>
        <v>1.3422818791946308E-2</v>
      </c>
      <c r="AT86" s="160">
        <f>(40000+20000+20000+60000)/4</f>
        <v>35000</v>
      </c>
      <c r="AU86" s="30"/>
      <c r="AV86" s="46">
        <f t="shared" si="62"/>
        <v>469.79865771812081</v>
      </c>
      <c r="AW86" s="27"/>
      <c r="AY86" s="17">
        <f t="shared" si="57"/>
        <v>70000</v>
      </c>
      <c r="AZ86" s="172">
        <f>AY86+BA86</f>
        <v>140000</v>
      </c>
      <c r="BA86" s="5">
        <f t="shared" si="70"/>
        <v>70000</v>
      </c>
      <c r="BB86" s="24">
        <f>BB87-AY79-BA79</f>
        <v>634490</v>
      </c>
    </row>
    <row r="87" spans="1:54" ht="15.75" hidden="1" customHeight="1" thickBot="1">
      <c r="A87" s="746"/>
      <c r="B87" s="747"/>
      <c r="C87" s="810"/>
      <c r="D87" s="810"/>
      <c r="E87" s="810"/>
      <c r="F87" s="810"/>
      <c r="G87" s="810"/>
      <c r="H87" s="810"/>
      <c r="I87" s="810"/>
      <c r="J87" s="810"/>
      <c r="K87" s="246" t="e">
        <f>SUM(K78:K86)</f>
        <v>#REF!</v>
      </c>
      <c r="L87" s="205"/>
      <c r="M87" s="275"/>
      <c r="Q87" s="68"/>
      <c r="R87" s="68"/>
      <c r="S87" s="68"/>
      <c r="T87" s="68"/>
      <c r="U87" s="68"/>
      <c r="V87" s="68"/>
      <c r="W87" s="68"/>
      <c r="X87" s="68"/>
      <c r="Y87" s="175">
        <f>SUM(Y78:Y86)</f>
        <v>2632.5167785234898</v>
      </c>
      <c r="AA87" s="811" t="s">
        <v>27</v>
      </c>
      <c r="AB87" s="812"/>
      <c r="AC87" s="812"/>
      <c r="AD87" s="812"/>
      <c r="AE87" s="812"/>
      <c r="AF87" s="812"/>
      <c r="AG87" s="812"/>
      <c r="AH87" s="812"/>
      <c r="AI87" s="813"/>
      <c r="AJ87" s="175">
        <f>SUM(AJ78:AJ86)</f>
        <v>2632.5167785234898</v>
      </c>
      <c r="AK87" s="27"/>
      <c r="AL87" s="162"/>
      <c r="AM87" s="811" t="s">
        <v>27</v>
      </c>
      <c r="AN87" s="812"/>
      <c r="AO87" s="812"/>
      <c r="AP87" s="812"/>
      <c r="AQ87" s="812"/>
      <c r="AR87" s="812"/>
      <c r="AS87" s="812"/>
      <c r="AT87" s="812"/>
      <c r="AU87" s="813"/>
      <c r="AV87" s="175">
        <f>SUM(AV78:AV86)</f>
        <v>2632.5167785234898</v>
      </c>
      <c r="AW87" s="27"/>
      <c r="AY87" s="175">
        <f>SUM(AY78:AY86)</f>
        <v>392245</v>
      </c>
      <c r="AZ87" s="5">
        <f>(634490+150000)/2</f>
        <v>392245</v>
      </c>
      <c r="BA87" s="176">
        <f>SUM(BA78:BA86)</f>
        <v>392245</v>
      </c>
      <c r="BB87" s="95">
        <f>AY87+BA87</f>
        <v>784490</v>
      </c>
    </row>
    <row r="88" spans="1:54" ht="15" hidden="1" customHeight="1">
      <c r="A88" s="746"/>
      <c r="B88" s="747"/>
      <c r="C88" s="814" t="s">
        <v>67</v>
      </c>
      <c r="D88" s="814"/>
      <c r="E88" s="814"/>
      <c r="F88" s="814"/>
      <c r="G88" s="814"/>
      <c r="H88" s="814"/>
      <c r="I88" s="814"/>
      <c r="J88" s="814"/>
      <c r="K88" s="814"/>
      <c r="L88" s="814"/>
      <c r="M88" s="152"/>
      <c r="Q88" s="68"/>
      <c r="R88" s="68"/>
      <c r="S88" s="68"/>
      <c r="T88" s="68"/>
      <c r="U88" s="68"/>
      <c r="V88" s="68"/>
      <c r="W88" s="68"/>
      <c r="X88" s="68"/>
      <c r="Y88" s="68"/>
      <c r="AA88" s="806" t="s">
        <v>67</v>
      </c>
      <c r="AB88" s="807"/>
      <c r="AC88" s="807"/>
      <c r="AD88" s="807"/>
      <c r="AE88" s="807"/>
      <c r="AF88" s="807"/>
      <c r="AG88" s="807"/>
      <c r="AH88" s="807"/>
      <c r="AI88" s="807"/>
      <c r="AJ88" s="807"/>
      <c r="AK88" s="808"/>
      <c r="AL88" s="152"/>
      <c r="AM88" s="806" t="s">
        <v>67</v>
      </c>
      <c r="AN88" s="807"/>
      <c r="AO88" s="807"/>
      <c r="AP88" s="807"/>
      <c r="AQ88" s="807"/>
      <c r="AR88" s="807"/>
      <c r="AS88" s="807"/>
      <c r="AT88" s="807"/>
      <c r="AU88" s="807"/>
      <c r="AV88" s="807"/>
      <c r="AW88" s="808"/>
      <c r="AZ88" s="38">
        <f>AZ87-AY87</f>
        <v>0</v>
      </c>
      <c r="BA88" s="38"/>
      <c r="BB88" s="38"/>
    </row>
    <row r="89" spans="1:54" ht="15" hidden="1" customHeight="1">
      <c r="A89" s="746"/>
      <c r="B89" s="747"/>
      <c r="C89" s="261"/>
      <c r="D89" s="261"/>
      <c r="E89" s="261"/>
      <c r="F89" s="311"/>
      <c r="G89" s="312">
        <v>300</v>
      </c>
      <c r="H89" s="313" t="e">
        <f>F89*G89/#REF!</f>
        <v>#REF!</v>
      </c>
      <c r="I89" s="314"/>
      <c r="J89" s="204"/>
      <c r="K89" s="195" t="e">
        <f>I89*H89</f>
        <v>#REF!</v>
      </c>
      <c r="L89" s="205"/>
      <c r="M89" s="274"/>
      <c r="Q89" s="41"/>
      <c r="R89" s="41"/>
      <c r="S89" s="177"/>
      <c r="T89" s="43">
        <f t="shared" ref="T89:T91" si="71">300*245</f>
        <v>73500</v>
      </c>
      <c r="U89" s="44">
        <v>300</v>
      </c>
      <c r="V89" s="45">
        <f t="shared" ref="V89:V91" si="72">S89*U89/T89</f>
        <v>0</v>
      </c>
      <c r="W89" s="178"/>
      <c r="X89" s="30"/>
      <c r="Y89" s="46">
        <f>W89*V89</f>
        <v>0</v>
      </c>
      <c r="AA89" s="41"/>
      <c r="AB89" s="41"/>
      <c r="AC89" s="41"/>
      <c r="AD89" s="177"/>
      <c r="AE89" s="43">
        <f t="shared" ref="AE89:AE91" si="73">300*245</f>
        <v>73500</v>
      </c>
      <c r="AF89" s="44">
        <v>300</v>
      </c>
      <c r="AG89" s="45">
        <f t="shared" ref="AG89:AG91" si="74">AD89*AF89/AE89</f>
        <v>0</v>
      </c>
      <c r="AH89" s="178"/>
      <c r="AI89" s="30"/>
      <c r="AJ89" s="46">
        <f>AH89*AG89</f>
        <v>0</v>
      </c>
      <c r="AK89" s="27"/>
      <c r="AL89" s="153"/>
      <c r="AM89" s="41"/>
      <c r="AN89" s="41"/>
      <c r="AO89" s="41"/>
      <c r="AP89" s="177"/>
      <c r="AQ89" s="43">
        <f t="shared" ref="AQ89:AQ91" si="75">300*245</f>
        <v>73500</v>
      </c>
      <c r="AR89" s="44">
        <v>300</v>
      </c>
      <c r="AS89" s="45">
        <f t="shared" ref="AS89:AS91" si="76">AP89*AR89/AQ89</f>
        <v>0</v>
      </c>
      <c r="AT89" s="178"/>
      <c r="AU89" s="30"/>
      <c r="AV89" s="46">
        <f>AT89*AS89</f>
        <v>0</v>
      </c>
      <c r="AW89" s="27"/>
      <c r="AY89" s="17">
        <f t="shared" ref="AY89:AY99" si="77">AJ89*443052</f>
        <v>0</v>
      </c>
    </row>
    <row r="90" spans="1:54" ht="15" hidden="1" customHeight="1">
      <c r="A90" s="746"/>
      <c r="B90" s="747"/>
      <c r="C90" s="261"/>
      <c r="D90" s="261"/>
      <c r="E90" s="261"/>
      <c r="F90" s="311"/>
      <c r="G90" s="312">
        <v>300</v>
      </c>
      <c r="H90" s="313" t="e">
        <f>F90*G90/#REF!</f>
        <v>#REF!</v>
      </c>
      <c r="I90" s="315"/>
      <c r="J90" s="204"/>
      <c r="K90" s="195" t="e">
        <f>I90*H90</f>
        <v>#REF!</v>
      </c>
      <c r="L90" s="205"/>
      <c r="M90" s="274"/>
      <c r="Q90" s="41"/>
      <c r="R90" s="41"/>
      <c r="S90" s="177"/>
      <c r="T90" s="43">
        <f t="shared" si="71"/>
        <v>73500</v>
      </c>
      <c r="U90" s="44">
        <v>300</v>
      </c>
      <c r="V90" s="45">
        <f t="shared" si="72"/>
        <v>0</v>
      </c>
      <c r="W90" s="179"/>
      <c r="X90" s="30"/>
      <c r="Y90" s="46">
        <f>W90*V90</f>
        <v>0</v>
      </c>
      <c r="AA90" s="41"/>
      <c r="AB90" s="41"/>
      <c r="AC90" s="41"/>
      <c r="AD90" s="177"/>
      <c r="AE90" s="43">
        <f t="shared" si="73"/>
        <v>73500</v>
      </c>
      <c r="AF90" s="44">
        <v>300</v>
      </c>
      <c r="AG90" s="45">
        <f t="shared" si="74"/>
        <v>0</v>
      </c>
      <c r="AH90" s="179"/>
      <c r="AI90" s="30"/>
      <c r="AJ90" s="46">
        <f>AH90*AG90</f>
        <v>0</v>
      </c>
      <c r="AK90" s="27"/>
      <c r="AL90" s="153"/>
      <c r="AM90" s="41"/>
      <c r="AN90" s="41"/>
      <c r="AO90" s="41"/>
      <c r="AP90" s="177"/>
      <c r="AQ90" s="43">
        <f t="shared" si="75"/>
        <v>73500</v>
      </c>
      <c r="AR90" s="44">
        <v>300</v>
      </c>
      <c r="AS90" s="45">
        <f t="shared" si="76"/>
        <v>0</v>
      </c>
      <c r="AT90" s="179"/>
      <c r="AU90" s="30"/>
      <c r="AV90" s="46">
        <f>AT90*AS90</f>
        <v>0</v>
      </c>
      <c r="AW90" s="27"/>
      <c r="AY90" s="17">
        <f t="shared" si="77"/>
        <v>0</v>
      </c>
    </row>
    <row r="91" spans="1:54" ht="15" hidden="1" customHeight="1">
      <c r="A91" s="746"/>
      <c r="B91" s="747"/>
      <c r="C91" s="261"/>
      <c r="D91" s="261"/>
      <c r="E91" s="261"/>
      <c r="F91" s="311"/>
      <c r="G91" s="312">
        <v>300</v>
      </c>
      <c r="H91" s="313" t="e">
        <f>F91*G91/#REF!</f>
        <v>#REF!</v>
      </c>
      <c r="I91" s="315"/>
      <c r="J91" s="204"/>
      <c r="K91" s="195" t="e">
        <f>I91*H91</f>
        <v>#REF!</v>
      </c>
      <c r="L91" s="205"/>
      <c r="M91" s="274"/>
      <c r="Q91" s="41"/>
      <c r="R91" s="41"/>
      <c r="S91" s="177"/>
      <c r="T91" s="43">
        <f t="shared" si="71"/>
        <v>73500</v>
      </c>
      <c r="U91" s="44">
        <v>300</v>
      </c>
      <c r="V91" s="45">
        <f t="shared" si="72"/>
        <v>0</v>
      </c>
      <c r="W91" s="179"/>
      <c r="X91" s="30"/>
      <c r="Y91" s="46">
        <f>W91*V91</f>
        <v>0</v>
      </c>
      <c r="AA91" s="41"/>
      <c r="AB91" s="41"/>
      <c r="AC91" s="41"/>
      <c r="AD91" s="177"/>
      <c r="AE91" s="43">
        <f t="shared" si="73"/>
        <v>73500</v>
      </c>
      <c r="AF91" s="44">
        <v>300</v>
      </c>
      <c r="AG91" s="45">
        <f t="shared" si="74"/>
        <v>0</v>
      </c>
      <c r="AH91" s="179"/>
      <c r="AI91" s="30"/>
      <c r="AJ91" s="46">
        <f>AH91*AG91</f>
        <v>0</v>
      </c>
      <c r="AK91" s="27"/>
      <c r="AL91" s="153"/>
      <c r="AM91" s="41"/>
      <c r="AN91" s="41"/>
      <c r="AO91" s="41"/>
      <c r="AP91" s="177"/>
      <c r="AQ91" s="43">
        <f t="shared" si="75"/>
        <v>73500</v>
      </c>
      <c r="AR91" s="44">
        <v>300</v>
      </c>
      <c r="AS91" s="45">
        <f t="shared" si="76"/>
        <v>0</v>
      </c>
      <c r="AT91" s="179"/>
      <c r="AU91" s="30"/>
      <c r="AV91" s="46">
        <f>AT91*AS91</f>
        <v>0</v>
      </c>
      <c r="AW91" s="27"/>
      <c r="AY91" s="17">
        <f t="shared" si="77"/>
        <v>0</v>
      </c>
    </row>
    <row r="92" spans="1:54" ht="15" hidden="1" customHeight="1">
      <c r="A92" s="746"/>
      <c r="B92" s="747"/>
      <c r="C92" s="810"/>
      <c r="D92" s="810"/>
      <c r="E92" s="810"/>
      <c r="F92" s="810"/>
      <c r="G92" s="810"/>
      <c r="H92" s="810"/>
      <c r="I92" s="810"/>
      <c r="J92" s="810"/>
      <c r="K92" s="246" t="e">
        <f>SUM(K89:K91)</f>
        <v>#REF!</v>
      </c>
      <c r="L92" s="205"/>
      <c r="M92" s="275"/>
      <c r="Q92" s="68"/>
      <c r="R92" s="68"/>
      <c r="S92" s="68"/>
      <c r="T92" s="68"/>
      <c r="U92" s="68"/>
      <c r="V92" s="68"/>
      <c r="W92" s="68"/>
      <c r="X92" s="68"/>
      <c r="Y92" s="175">
        <f>SUM(Y89:Y91)</f>
        <v>0</v>
      </c>
      <c r="AA92" s="811" t="s">
        <v>27</v>
      </c>
      <c r="AB92" s="812"/>
      <c r="AC92" s="812"/>
      <c r="AD92" s="812"/>
      <c r="AE92" s="812"/>
      <c r="AF92" s="812"/>
      <c r="AG92" s="812"/>
      <c r="AH92" s="812"/>
      <c r="AI92" s="813"/>
      <c r="AJ92" s="175">
        <f>SUM(AJ89:AJ91)</f>
        <v>0</v>
      </c>
      <c r="AK92" s="27"/>
      <c r="AL92" s="162"/>
      <c r="AM92" s="811" t="s">
        <v>27</v>
      </c>
      <c r="AN92" s="812"/>
      <c r="AO92" s="812"/>
      <c r="AP92" s="812"/>
      <c r="AQ92" s="812"/>
      <c r="AR92" s="812"/>
      <c r="AS92" s="812"/>
      <c r="AT92" s="812"/>
      <c r="AU92" s="813"/>
      <c r="AV92" s="175">
        <f>SUM(AV89:AV91)</f>
        <v>0</v>
      </c>
      <c r="AW92" s="27"/>
      <c r="AY92" s="17">
        <f t="shared" si="77"/>
        <v>0</v>
      </c>
    </row>
    <row r="93" spans="1:54" s="55" customFormat="1" ht="26.25" customHeight="1">
      <c r="A93" s="746"/>
      <c r="B93" s="747"/>
      <c r="C93" s="749" t="s">
        <v>21</v>
      </c>
      <c r="D93" s="749"/>
      <c r="E93" s="749"/>
      <c r="F93" s="749"/>
      <c r="G93" s="749"/>
      <c r="H93" s="749"/>
      <c r="I93" s="749"/>
      <c r="J93" s="749"/>
      <c r="K93" s="749"/>
      <c r="L93" s="749"/>
      <c r="M93" s="180"/>
      <c r="P93" s="181"/>
      <c r="Q93" s="181"/>
      <c r="R93" s="181"/>
      <c r="S93" s="181"/>
      <c r="T93" s="181"/>
      <c r="U93" s="181"/>
      <c r="V93" s="181"/>
      <c r="W93" s="181"/>
      <c r="X93" s="181"/>
      <c r="Y93" s="181"/>
      <c r="Z93" s="33"/>
      <c r="AA93" s="815" t="s">
        <v>21</v>
      </c>
      <c r="AB93" s="816"/>
      <c r="AC93" s="816"/>
      <c r="AD93" s="816"/>
      <c r="AE93" s="816"/>
      <c r="AF93" s="816"/>
      <c r="AG93" s="816"/>
      <c r="AH93" s="816"/>
      <c r="AI93" s="816"/>
      <c r="AJ93" s="816"/>
      <c r="AK93" s="817"/>
      <c r="AL93" s="180"/>
      <c r="AM93" s="815" t="s">
        <v>21</v>
      </c>
      <c r="AN93" s="816"/>
      <c r="AO93" s="816"/>
      <c r="AP93" s="816"/>
      <c r="AQ93" s="816"/>
      <c r="AR93" s="816"/>
      <c r="AS93" s="816"/>
      <c r="AT93" s="816"/>
      <c r="AU93" s="816"/>
      <c r="AV93" s="816"/>
      <c r="AW93" s="817"/>
      <c r="AY93" s="182">
        <f t="shared" si="77"/>
        <v>0</v>
      </c>
    </row>
    <row r="94" spans="1:54" ht="30.75" hidden="1" customHeight="1">
      <c r="A94" s="746"/>
      <c r="B94" s="747"/>
      <c r="C94" s="235" t="s">
        <v>22</v>
      </c>
      <c r="D94" s="292" t="s">
        <v>130</v>
      </c>
      <c r="E94" s="753"/>
      <c r="F94" s="753"/>
      <c r="G94" s="191">
        <v>1</v>
      </c>
      <c r="H94" s="192" t="e">
        <f>F94*G94/#REF!</f>
        <v>#REF!</v>
      </c>
      <c r="I94" s="316">
        <v>40000</v>
      </c>
      <c r="J94" s="311"/>
      <c r="K94" s="195" t="e">
        <f>H94*I94</f>
        <v>#REF!</v>
      </c>
      <c r="L94" s="205"/>
      <c r="M94" s="274"/>
      <c r="Q94" s="167" t="s">
        <v>22</v>
      </c>
      <c r="R94" s="167" t="s">
        <v>29</v>
      </c>
      <c r="S94" s="169">
        <f>1/2/149*T94</f>
        <v>0.16107382550335569</v>
      </c>
      <c r="T94" s="157">
        <v>48</v>
      </c>
      <c r="U94" s="158">
        <v>1</v>
      </c>
      <c r="V94" s="170">
        <f>S94*U94/T94</f>
        <v>3.3557046979865771E-3</v>
      </c>
      <c r="W94" s="183">
        <v>40000</v>
      </c>
      <c r="X94" s="177"/>
      <c r="Y94" s="46">
        <f>V94*W94</f>
        <v>134.2281879194631</v>
      </c>
      <c r="AA94" s="41">
        <v>1</v>
      </c>
      <c r="AB94" s="167" t="s">
        <v>22</v>
      </c>
      <c r="AC94" s="167" t="s">
        <v>29</v>
      </c>
      <c r="AD94" s="169">
        <f>1/2/149*AE94</f>
        <v>0.33892617449664431</v>
      </c>
      <c r="AE94" s="157">
        <v>101</v>
      </c>
      <c r="AF94" s="158">
        <v>1</v>
      </c>
      <c r="AG94" s="170">
        <f t="shared" ref="AG94:AG97" si="78">AD94*AF94/AE94</f>
        <v>3.3557046979865771E-3</v>
      </c>
      <c r="AH94" s="183">
        <v>40000</v>
      </c>
      <c r="AI94" s="177"/>
      <c r="AJ94" s="46">
        <f>AG94*AH94</f>
        <v>134.2281879194631</v>
      </c>
      <c r="AK94" s="27"/>
      <c r="AL94" s="153"/>
      <c r="AM94" s="41">
        <v>1</v>
      </c>
      <c r="AN94" s="167" t="s">
        <v>22</v>
      </c>
      <c r="AO94" s="167" t="s">
        <v>29</v>
      </c>
      <c r="AP94" s="184">
        <v>0.5</v>
      </c>
      <c r="AQ94" s="157">
        <v>149</v>
      </c>
      <c r="AR94" s="158">
        <v>1</v>
      </c>
      <c r="AS94" s="170">
        <f t="shared" ref="AS94:AS97" si="79">AP94*AR94/AQ94</f>
        <v>3.3557046979865771E-3</v>
      </c>
      <c r="AT94" s="183">
        <v>40000</v>
      </c>
      <c r="AU94" s="177"/>
      <c r="AV94" s="46">
        <f>AS94*AT94</f>
        <v>134.2281879194631</v>
      </c>
      <c r="AW94" s="27"/>
      <c r="AY94" s="17">
        <f>AJ94*149</f>
        <v>20000</v>
      </c>
      <c r="BA94" s="5">
        <f>AP94*AT94</f>
        <v>20000</v>
      </c>
    </row>
    <row r="95" spans="1:54" ht="39" hidden="1" customHeight="1">
      <c r="A95" s="746"/>
      <c r="B95" s="747"/>
      <c r="C95" s="235"/>
      <c r="D95" s="292"/>
      <c r="E95" s="753"/>
      <c r="F95" s="753"/>
      <c r="G95" s="191">
        <v>1</v>
      </c>
      <c r="H95" s="192" t="e">
        <f>F95*G95/#REF!</f>
        <v>#REF!</v>
      </c>
      <c r="I95" s="316">
        <v>60000</v>
      </c>
      <c r="J95" s="311"/>
      <c r="K95" s="195" t="e">
        <f>H95*I95</f>
        <v>#REF!</v>
      </c>
      <c r="L95" s="205"/>
      <c r="M95" s="274"/>
      <c r="Q95" s="167" t="s">
        <v>24</v>
      </c>
      <c r="R95" s="167" t="s">
        <v>231</v>
      </c>
      <c r="S95" s="184">
        <f>1/149*T95</f>
        <v>0.32214765100671139</v>
      </c>
      <c r="T95" s="157">
        <v>48</v>
      </c>
      <c r="U95" s="158">
        <v>1</v>
      </c>
      <c r="V95" s="170">
        <f t="shared" ref="V95:V97" si="80">S95*U95/T95</f>
        <v>6.7114093959731542E-3</v>
      </c>
      <c r="W95" s="183">
        <v>60000</v>
      </c>
      <c r="X95" s="177"/>
      <c r="Y95" s="46">
        <f>V95*W95</f>
        <v>402.68456375838923</v>
      </c>
      <c r="AA95" s="41">
        <v>2</v>
      </c>
      <c r="AB95" s="167" t="s">
        <v>24</v>
      </c>
      <c r="AC95" s="167" t="s">
        <v>231</v>
      </c>
      <c r="AD95" s="184">
        <f>1/149*AE95</f>
        <v>0.67785234899328861</v>
      </c>
      <c r="AE95" s="157">
        <v>101</v>
      </c>
      <c r="AF95" s="158">
        <v>1</v>
      </c>
      <c r="AG95" s="170">
        <f t="shared" si="78"/>
        <v>6.7114093959731542E-3</v>
      </c>
      <c r="AH95" s="183">
        <v>60000</v>
      </c>
      <c r="AI95" s="177"/>
      <c r="AJ95" s="46">
        <f>AG95*AH95</f>
        <v>402.68456375838923</v>
      </c>
      <c r="AK95" s="27"/>
      <c r="AL95" s="153"/>
      <c r="AM95" s="41">
        <v>2</v>
      </c>
      <c r="AN95" s="167" t="s">
        <v>24</v>
      </c>
      <c r="AO95" s="167" t="s">
        <v>231</v>
      </c>
      <c r="AP95" s="184">
        <v>0</v>
      </c>
      <c r="AQ95" s="157">
        <v>149</v>
      </c>
      <c r="AR95" s="158">
        <v>1</v>
      </c>
      <c r="AS95" s="170">
        <f t="shared" si="79"/>
        <v>0</v>
      </c>
      <c r="AT95" s="183">
        <v>60000</v>
      </c>
      <c r="AU95" s="177"/>
      <c r="AV95" s="46">
        <f>AS95*AT95</f>
        <v>0</v>
      </c>
      <c r="AW95" s="27"/>
      <c r="AY95" s="17">
        <f>AJ95*149</f>
        <v>59999.999999999993</v>
      </c>
      <c r="BA95" s="5">
        <f t="shared" ref="BA95:BA97" si="81">AP95*AT95</f>
        <v>0</v>
      </c>
    </row>
    <row r="96" spans="1:54" ht="15" hidden="1" customHeight="1">
      <c r="A96" s="746"/>
      <c r="B96" s="747"/>
      <c r="C96" s="235"/>
      <c r="D96" s="292" t="s">
        <v>130</v>
      </c>
      <c r="E96" s="753">
        <f>'[1]расчет свод'!S88</f>
        <v>5.1546391752577319E-3</v>
      </c>
      <c r="F96" s="753"/>
      <c r="G96" s="191">
        <v>1</v>
      </c>
      <c r="H96" s="192" t="e">
        <f>F96*G96/#REF!</f>
        <v>#REF!</v>
      </c>
      <c r="I96" s="317"/>
      <c r="J96" s="311"/>
      <c r="K96" s="195" t="e">
        <f>H96*I96</f>
        <v>#REF!</v>
      </c>
      <c r="L96" s="205"/>
      <c r="M96" s="274"/>
      <c r="Q96" s="167"/>
      <c r="R96" s="154"/>
      <c r="S96" s="184">
        <f t="shared" ref="S96" si="82">1*0.5</f>
        <v>0.5</v>
      </c>
      <c r="T96" s="157">
        <v>135</v>
      </c>
      <c r="U96" s="158">
        <v>1</v>
      </c>
      <c r="V96" s="170">
        <f t="shared" si="80"/>
        <v>3.7037037037037038E-3</v>
      </c>
      <c r="W96" s="185"/>
      <c r="X96" s="177"/>
      <c r="Y96" s="46">
        <f>V96*W96</f>
        <v>0</v>
      </c>
      <c r="AA96" s="41"/>
      <c r="AB96" s="167"/>
      <c r="AC96" s="154"/>
      <c r="AD96" s="184">
        <f t="shared" ref="AD96" si="83">1*0.5</f>
        <v>0.5</v>
      </c>
      <c r="AE96" s="157">
        <v>135</v>
      </c>
      <c r="AF96" s="158">
        <v>1</v>
      </c>
      <c r="AG96" s="170">
        <f t="shared" si="78"/>
        <v>3.7037037037037038E-3</v>
      </c>
      <c r="AH96" s="185"/>
      <c r="AI96" s="177"/>
      <c r="AJ96" s="46">
        <f>AG96*AH96</f>
        <v>0</v>
      </c>
      <c r="AK96" s="27"/>
      <c r="AL96" s="153"/>
      <c r="AM96" s="41"/>
      <c r="AN96" s="167"/>
      <c r="AO96" s="154"/>
      <c r="AP96" s="184">
        <f t="shared" ref="AP96:AP97" si="84">1*0.5</f>
        <v>0.5</v>
      </c>
      <c r="AQ96" s="157">
        <v>135</v>
      </c>
      <c r="AR96" s="158">
        <v>1</v>
      </c>
      <c r="AS96" s="170">
        <f t="shared" si="79"/>
        <v>3.7037037037037038E-3</v>
      </c>
      <c r="AT96" s="185"/>
      <c r="AU96" s="177"/>
      <c r="AV96" s="46">
        <f>AS96*AT96</f>
        <v>0</v>
      </c>
      <c r="AW96" s="27"/>
      <c r="AY96" s="17">
        <f t="shared" si="77"/>
        <v>0</v>
      </c>
      <c r="BA96" s="5">
        <f t="shared" si="81"/>
        <v>0</v>
      </c>
    </row>
    <row r="97" spans="1:55" ht="45" hidden="1" customHeight="1">
      <c r="A97" s="746"/>
      <c r="B97" s="747"/>
      <c r="C97" s="235" t="s">
        <v>25</v>
      </c>
      <c r="D97" s="292" t="s">
        <v>130</v>
      </c>
      <c r="E97" s="753"/>
      <c r="F97" s="753"/>
      <c r="G97" s="191">
        <v>1</v>
      </c>
      <c r="H97" s="192" t="e">
        <f>F97*G97/#REF!</f>
        <v>#REF!</v>
      </c>
      <c r="I97" s="316">
        <v>600</v>
      </c>
      <c r="J97" s="311"/>
      <c r="K97" s="195" t="e">
        <f>H97*I97</f>
        <v>#REF!</v>
      </c>
      <c r="L97" s="205"/>
      <c r="M97" s="275"/>
      <c r="Q97" s="167" t="s">
        <v>25</v>
      </c>
      <c r="R97" s="155" t="s">
        <v>95</v>
      </c>
      <c r="S97" s="169">
        <f>1/2/149*T97</f>
        <v>0.16107382550335569</v>
      </c>
      <c r="T97" s="157">
        <v>48</v>
      </c>
      <c r="U97" s="158">
        <v>1</v>
      </c>
      <c r="V97" s="170">
        <f t="shared" si="80"/>
        <v>3.3557046979865771E-3</v>
      </c>
      <c r="W97" s="183">
        <v>600</v>
      </c>
      <c r="X97" s="177"/>
      <c r="Y97" s="46">
        <f>V97*W97</f>
        <v>2.0134228187919461</v>
      </c>
      <c r="AA97" s="8">
        <v>3</v>
      </c>
      <c r="AB97" s="167" t="s">
        <v>25</v>
      </c>
      <c r="AC97" s="155" t="s">
        <v>95</v>
      </c>
      <c r="AD97" s="169">
        <f>1/2/149*AE97</f>
        <v>0.33892617449664431</v>
      </c>
      <c r="AE97" s="157">
        <v>101</v>
      </c>
      <c r="AF97" s="158">
        <v>1</v>
      </c>
      <c r="AG97" s="170">
        <f t="shared" si="78"/>
        <v>3.3557046979865771E-3</v>
      </c>
      <c r="AH97" s="183">
        <v>600</v>
      </c>
      <c r="AI97" s="177"/>
      <c r="AJ97" s="46">
        <f>AG97*AH97</f>
        <v>2.0134228187919461</v>
      </c>
      <c r="AK97" s="27"/>
      <c r="AL97" s="162"/>
      <c r="AM97" s="8">
        <v>3</v>
      </c>
      <c r="AN97" s="167" t="s">
        <v>25</v>
      </c>
      <c r="AO97" s="155" t="s">
        <v>95</v>
      </c>
      <c r="AP97" s="184">
        <f t="shared" si="84"/>
        <v>0.5</v>
      </c>
      <c r="AQ97" s="157">
        <v>149</v>
      </c>
      <c r="AR97" s="158">
        <v>1</v>
      </c>
      <c r="AS97" s="170">
        <f t="shared" si="79"/>
        <v>3.3557046979865771E-3</v>
      </c>
      <c r="AT97" s="183">
        <v>600</v>
      </c>
      <c r="AU97" s="177"/>
      <c r="AV97" s="46">
        <f>AS97*AT97</f>
        <v>2.0134228187919461</v>
      </c>
      <c r="AW97" s="27"/>
      <c r="AY97" s="17">
        <f>AJ97*149</f>
        <v>299.99999999999994</v>
      </c>
      <c r="BA97" s="5">
        <f t="shared" si="81"/>
        <v>300</v>
      </c>
    </row>
    <row r="98" spans="1:55" ht="15.75" hidden="1" customHeight="1" thickBot="1">
      <c r="A98" s="746"/>
      <c r="B98" s="747"/>
      <c r="C98" s="810"/>
      <c r="D98" s="810"/>
      <c r="E98" s="810"/>
      <c r="F98" s="810"/>
      <c r="G98" s="810"/>
      <c r="H98" s="810"/>
      <c r="I98" s="810"/>
      <c r="J98" s="810"/>
      <c r="K98" s="246" t="e">
        <f>SUM(K94:K97)</f>
        <v>#REF!</v>
      </c>
      <c r="L98" s="205"/>
      <c r="M98" s="275"/>
      <c r="Q98" s="68"/>
      <c r="R98" s="68"/>
      <c r="S98" s="68"/>
      <c r="T98" s="68"/>
      <c r="U98" s="68"/>
      <c r="V98" s="68"/>
      <c r="W98" s="68"/>
      <c r="X98" s="68"/>
      <c r="Y98" s="175">
        <f>SUM(Y94:Y97)</f>
        <v>538.92617449664431</v>
      </c>
      <c r="AA98" s="811" t="s">
        <v>27</v>
      </c>
      <c r="AB98" s="812"/>
      <c r="AC98" s="812"/>
      <c r="AD98" s="812"/>
      <c r="AE98" s="812"/>
      <c r="AF98" s="812"/>
      <c r="AG98" s="812"/>
      <c r="AH98" s="812"/>
      <c r="AI98" s="813"/>
      <c r="AJ98" s="175">
        <f>SUM(AJ94:AJ97)</f>
        <v>538.92617449664431</v>
      </c>
      <c r="AK98" s="27"/>
      <c r="AL98" s="162"/>
      <c r="AM98" s="811" t="s">
        <v>27</v>
      </c>
      <c r="AN98" s="812"/>
      <c r="AO98" s="812"/>
      <c r="AP98" s="812"/>
      <c r="AQ98" s="812"/>
      <c r="AR98" s="812"/>
      <c r="AS98" s="812"/>
      <c r="AT98" s="812"/>
      <c r="AU98" s="813"/>
      <c r="AV98" s="175">
        <f>SUM(AV94:AV97)</f>
        <v>136.24161073825505</v>
      </c>
      <c r="AW98" s="27"/>
      <c r="AY98" s="175">
        <f>AY94+AY95+AY97</f>
        <v>80300</v>
      </c>
      <c r="AZ98" s="5">
        <v>100600</v>
      </c>
      <c r="BA98" s="186">
        <f>SUM(BA94:BA97)</f>
        <v>20300</v>
      </c>
      <c r="BB98" s="95">
        <f>AY98+BA98</f>
        <v>100600</v>
      </c>
      <c r="BC98" s="5">
        <v>221</v>
      </c>
    </row>
    <row r="99" spans="1:55" s="55" customFormat="1" ht="24" customHeight="1">
      <c r="A99" s="746"/>
      <c r="B99" s="747"/>
      <c r="C99" s="749" t="s">
        <v>26</v>
      </c>
      <c r="D99" s="749"/>
      <c r="E99" s="749"/>
      <c r="F99" s="749"/>
      <c r="G99" s="749"/>
      <c r="H99" s="749"/>
      <c r="I99" s="749"/>
      <c r="J99" s="749"/>
      <c r="K99" s="749"/>
      <c r="L99" s="749"/>
      <c r="M99" s="180"/>
      <c r="P99" s="181"/>
      <c r="Q99" s="181"/>
      <c r="R99" s="181"/>
      <c r="S99" s="181"/>
      <c r="T99" s="181"/>
      <c r="U99" s="181"/>
      <c r="V99" s="181"/>
      <c r="W99" s="181"/>
      <c r="X99" s="181"/>
      <c r="Y99" s="181"/>
      <c r="Z99" s="33"/>
      <c r="AA99" s="815" t="s">
        <v>26</v>
      </c>
      <c r="AB99" s="816"/>
      <c r="AC99" s="816"/>
      <c r="AD99" s="816"/>
      <c r="AE99" s="816"/>
      <c r="AF99" s="816"/>
      <c r="AG99" s="816"/>
      <c r="AH99" s="816"/>
      <c r="AI99" s="816"/>
      <c r="AJ99" s="816"/>
      <c r="AK99" s="817"/>
      <c r="AL99" s="180"/>
      <c r="AM99" s="815" t="s">
        <v>26</v>
      </c>
      <c r="AN99" s="816"/>
      <c r="AO99" s="816"/>
      <c r="AP99" s="816"/>
      <c r="AQ99" s="816"/>
      <c r="AR99" s="816"/>
      <c r="AS99" s="816"/>
      <c r="AT99" s="816"/>
      <c r="AU99" s="816"/>
      <c r="AV99" s="816"/>
      <c r="AW99" s="817"/>
      <c r="AY99" s="182">
        <f t="shared" si="77"/>
        <v>0</v>
      </c>
      <c r="AZ99" s="187">
        <f>AY98+BA98</f>
        <v>100600</v>
      </c>
    </row>
    <row r="100" spans="1:55" ht="39" hidden="1" customHeight="1">
      <c r="A100" s="746"/>
      <c r="B100" s="747"/>
      <c r="C100" s="235" t="s">
        <v>94</v>
      </c>
      <c r="D100" s="235" t="s">
        <v>30</v>
      </c>
      <c r="E100" s="753"/>
      <c r="F100" s="753"/>
      <c r="G100" s="191">
        <v>1</v>
      </c>
      <c r="H100" s="318" t="e">
        <f>F100*G100/#REF!</f>
        <v>#REF!</v>
      </c>
      <c r="I100" s="316">
        <v>25000</v>
      </c>
      <c r="J100" s="194"/>
      <c r="K100" s="195" t="e">
        <f>H100*I100</f>
        <v>#REF!</v>
      </c>
      <c r="L100" s="205"/>
      <c r="M100" s="274"/>
      <c r="Q100" s="167" t="s">
        <v>94</v>
      </c>
      <c r="R100" s="167" t="s">
        <v>30</v>
      </c>
      <c r="S100" s="184">
        <f>1/149*T100</f>
        <v>0.32214765100671139</v>
      </c>
      <c r="T100" s="157">
        <v>48</v>
      </c>
      <c r="U100" s="158">
        <v>1</v>
      </c>
      <c r="V100" s="170">
        <f>S100*U100/T100</f>
        <v>6.7114093959731542E-3</v>
      </c>
      <c r="W100" s="183">
        <v>25000</v>
      </c>
      <c r="X100" s="30"/>
      <c r="Y100" s="46">
        <f>V100*W100</f>
        <v>167.78523489932886</v>
      </c>
      <c r="AA100" s="41">
        <v>1</v>
      </c>
      <c r="AB100" s="167" t="s">
        <v>94</v>
      </c>
      <c r="AC100" s="167" t="s">
        <v>30</v>
      </c>
      <c r="AD100" s="184">
        <f>1/149*AE100</f>
        <v>0.67785234899328861</v>
      </c>
      <c r="AE100" s="157">
        <v>101</v>
      </c>
      <c r="AF100" s="158">
        <v>1</v>
      </c>
      <c r="AG100" s="170">
        <f>AD100*AF100/AE100</f>
        <v>6.7114093959731542E-3</v>
      </c>
      <c r="AH100" s="183">
        <v>25000</v>
      </c>
      <c r="AI100" s="30"/>
      <c r="AJ100" s="46">
        <f>AG100*AH100</f>
        <v>167.78523489932886</v>
      </c>
      <c r="AK100" s="27"/>
      <c r="AL100" s="153"/>
      <c r="AM100" s="41">
        <v>1</v>
      </c>
      <c r="AN100" s="167" t="s">
        <v>94</v>
      </c>
      <c r="AO100" s="167" t="s">
        <v>30</v>
      </c>
      <c r="AP100" s="184">
        <f>2*0.5</f>
        <v>1</v>
      </c>
      <c r="AQ100" s="157">
        <v>149</v>
      </c>
      <c r="AR100" s="158">
        <v>1</v>
      </c>
      <c r="AS100" s="170">
        <f>AP100*AR100/AQ100</f>
        <v>6.7114093959731542E-3</v>
      </c>
      <c r="AT100" s="183">
        <v>25000</v>
      </c>
      <c r="AU100" s="30"/>
      <c r="AV100" s="46">
        <f>AS100*AT100</f>
        <v>167.78523489932886</v>
      </c>
      <c r="AW100" s="27"/>
      <c r="AY100" s="17">
        <f>AJ100*149</f>
        <v>25000</v>
      </c>
      <c r="BA100" s="5">
        <f t="shared" ref="BA100" si="85">AP100*AT100</f>
        <v>25000</v>
      </c>
    </row>
    <row r="101" spans="1:55" ht="15.75" hidden="1" customHeight="1" thickBot="1">
      <c r="A101" s="746"/>
      <c r="B101" s="747"/>
      <c r="C101" s="821"/>
      <c r="D101" s="821"/>
      <c r="E101" s="821"/>
      <c r="F101" s="821"/>
      <c r="G101" s="821"/>
      <c r="H101" s="821"/>
      <c r="I101" s="821"/>
      <c r="J101" s="821"/>
      <c r="K101" s="246" t="e">
        <f>SUM(K100:K100)</f>
        <v>#REF!</v>
      </c>
      <c r="L101" s="205"/>
      <c r="M101" s="275"/>
      <c r="Q101" s="68"/>
      <c r="R101" s="68"/>
      <c r="S101" s="68"/>
      <c r="T101" s="68"/>
      <c r="U101" s="68"/>
      <c r="V101" s="68"/>
      <c r="W101" s="68"/>
      <c r="X101" s="68"/>
      <c r="Y101" s="175">
        <f>SUM(Y100:Y100)</f>
        <v>167.78523489932886</v>
      </c>
      <c r="AA101" s="811" t="s">
        <v>27</v>
      </c>
      <c r="AB101" s="812"/>
      <c r="AC101" s="812"/>
      <c r="AD101" s="812"/>
      <c r="AE101" s="812"/>
      <c r="AF101" s="812"/>
      <c r="AG101" s="812"/>
      <c r="AH101" s="812"/>
      <c r="AI101" s="813"/>
      <c r="AJ101" s="175">
        <f>SUM(AJ100:AJ100)</f>
        <v>167.78523489932886</v>
      </c>
      <c r="AK101" s="27"/>
      <c r="AL101" s="162"/>
      <c r="AM101" s="811" t="s">
        <v>27</v>
      </c>
      <c r="AN101" s="812"/>
      <c r="AO101" s="812"/>
      <c r="AP101" s="812"/>
      <c r="AQ101" s="812"/>
      <c r="AR101" s="812"/>
      <c r="AS101" s="812"/>
      <c r="AT101" s="812"/>
      <c r="AU101" s="813"/>
      <c r="AV101" s="175">
        <f>SUM(AV100:AV100)</f>
        <v>167.78523489932886</v>
      </c>
      <c r="AW101" s="27"/>
      <c r="AY101" s="175">
        <f>SUM(AY100:AY100)</f>
        <v>25000</v>
      </c>
      <c r="BA101" s="175">
        <f>SUM(BA100:BA100)</f>
        <v>25000</v>
      </c>
      <c r="BB101" s="188">
        <f>AY101+BA101</f>
        <v>50000</v>
      </c>
      <c r="BC101" s="5">
        <v>222</v>
      </c>
    </row>
    <row r="102" spans="1:55" ht="43.5" customHeight="1">
      <c r="A102" s="746"/>
      <c r="B102" s="747"/>
      <c r="C102" s="822" t="s">
        <v>66</v>
      </c>
      <c r="D102" s="822"/>
      <c r="E102" s="822"/>
      <c r="F102" s="822"/>
      <c r="G102" s="822"/>
      <c r="H102" s="822"/>
      <c r="I102" s="822"/>
      <c r="J102" s="822"/>
      <c r="K102" s="822"/>
      <c r="L102" s="822"/>
      <c r="M102" s="189"/>
      <c r="Q102" s="68"/>
      <c r="R102" s="68"/>
      <c r="S102" s="68"/>
      <c r="T102" s="68"/>
      <c r="U102" s="68"/>
      <c r="V102" s="68"/>
      <c r="W102" s="68"/>
      <c r="X102" s="68"/>
      <c r="Y102" s="68"/>
      <c r="AA102" s="818" t="s">
        <v>66</v>
      </c>
      <c r="AB102" s="819"/>
      <c r="AC102" s="819"/>
      <c r="AD102" s="819"/>
      <c r="AE102" s="819"/>
      <c r="AF102" s="819"/>
      <c r="AG102" s="819"/>
      <c r="AH102" s="819"/>
      <c r="AI102" s="819"/>
      <c r="AJ102" s="819"/>
      <c r="AK102" s="820"/>
      <c r="AL102" s="189"/>
      <c r="AM102" s="818" t="s">
        <v>66</v>
      </c>
      <c r="AN102" s="819"/>
      <c r="AO102" s="819"/>
      <c r="AP102" s="819"/>
      <c r="AQ102" s="819"/>
      <c r="AR102" s="819"/>
      <c r="AS102" s="819"/>
      <c r="AT102" s="819"/>
      <c r="AU102" s="819"/>
      <c r="AV102" s="819"/>
      <c r="AW102" s="820"/>
      <c r="AY102" s="17">
        <f t="shared" ref="AY102" si="86">AJ102*443052</f>
        <v>0</v>
      </c>
    </row>
    <row r="103" spans="1:55" ht="43.5" customHeight="1">
      <c r="A103" s="746"/>
      <c r="B103" s="747"/>
      <c r="C103" s="263" t="e">
        <f>'расчет по услугам'!#REF!</f>
        <v>#REF!</v>
      </c>
      <c r="D103" s="190" t="s">
        <v>192</v>
      </c>
      <c r="E103" s="753" t="e">
        <f>'расчет по услугам'!#REF!</f>
        <v>#REF!</v>
      </c>
      <c r="F103" s="753"/>
      <c r="G103" s="320"/>
      <c r="H103" s="320"/>
      <c r="I103" s="320"/>
      <c r="J103" s="320"/>
      <c r="K103" s="320"/>
      <c r="L103" s="320"/>
      <c r="M103" s="189"/>
      <c r="Q103" s="68"/>
      <c r="R103" s="68"/>
      <c r="S103" s="68"/>
      <c r="T103" s="68"/>
      <c r="U103" s="68"/>
      <c r="V103" s="68"/>
      <c r="W103" s="68"/>
      <c r="X103" s="68"/>
      <c r="Y103" s="68"/>
      <c r="AA103" s="64"/>
      <c r="AB103" s="36"/>
      <c r="AC103" s="65"/>
      <c r="AD103" s="65"/>
      <c r="AE103" s="65"/>
      <c r="AF103" s="65"/>
      <c r="AG103" s="65"/>
      <c r="AH103" s="65"/>
      <c r="AI103" s="65"/>
      <c r="AJ103" s="65"/>
      <c r="AK103" s="66"/>
      <c r="AL103" s="189"/>
      <c r="AM103" s="64"/>
      <c r="AN103" s="36"/>
      <c r="AO103" s="65"/>
      <c r="AP103" s="65"/>
      <c r="AQ103" s="65"/>
      <c r="AR103" s="65"/>
      <c r="AS103" s="65"/>
      <c r="AT103" s="65"/>
      <c r="AU103" s="65"/>
      <c r="AV103" s="65"/>
      <c r="AW103" s="66"/>
      <c r="AY103" s="17"/>
    </row>
    <row r="104" spans="1:55" ht="43.5" customHeight="1">
      <c r="A104" s="746"/>
      <c r="B104" s="747"/>
      <c r="C104" s="263" t="e">
        <f>'расчет по услугам'!#REF!</f>
        <v>#REF!</v>
      </c>
      <c r="D104" s="190" t="s">
        <v>192</v>
      </c>
      <c r="E104" s="753" t="e">
        <f>'расчет по услугам'!#REF!</f>
        <v>#REF!</v>
      </c>
      <c r="F104" s="753"/>
      <c r="G104" s="320"/>
      <c r="H104" s="320"/>
      <c r="I104" s="320"/>
      <c r="J104" s="320"/>
      <c r="K104" s="320"/>
      <c r="L104" s="320"/>
      <c r="M104" s="189"/>
      <c r="Q104" s="68"/>
      <c r="R104" s="68"/>
      <c r="S104" s="68"/>
      <c r="T104" s="68"/>
      <c r="U104" s="68"/>
      <c r="V104" s="68"/>
      <c r="W104" s="68"/>
      <c r="X104" s="68"/>
      <c r="Y104" s="68"/>
      <c r="AA104" s="64"/>
      <c r="AB104" s="36"/>
      <c r="AC104" s="65"/>
      <c r="AD104" s="65"/>
      <c r="AE104" s="65"/>
      <c r="AF104" s="65"/>
      <c r="AG104" s="65"/>
      <c r="AH104" s="65"/>
      <c r="AI104" s="65"/>
      <c r="AJ104" s="65"/>
      <c r="AK104" s="66"/>
      <c r="AL104" s="189"/>
      <c r="AM104" s="64"/>
      <c r="AN104" s="36"/>
      <c r="AO104" s="65"/>
      <c r="AP104" s="65"/>
      <c r="AQ104" s="65"/>
      <c r="AR104" s="65"/>
      <c r="AS104" s="65"/>
      <c r="AT104" s="65"/>
      <c r="AU104" s="65"/>
      <c r="AV104" s="65"/>
      <c r="AW104" s="66"/>
      <c r="AY104" s="17"/>
    </row>
    <row r="105" spans="1:55" ht="43.5" customHeight="1">
      <c r="A105" s="746"/>
      <c r="B105" s="747"/>
      <c r="C105" s="263" t="e">
        <f>'расчет по услугам'!#REF!</f>
        <v>#REF!</v>
      </c>
      <c r="D105" s="190" t="s">
        <v>192</v>
      </c>
      <c r="E105" s="753" t="e">
        <f>'расчет по услугам'!#REF!</f>
        <v>#REF!</v>
      </c>
      <c r="F105" s="753"/>
      <c r="G105" s="320"/>
      <c r="H105" s="320"/>
      <c r="I105" s="320"/>
      <c r="J105" s="320"/>
      <c r="K105" s="320"/>
      <c r="L105" s="320"/>
      <c r="M105" s="189"/>
      <c r="Q105" s="68"/>
      <c r="R105" s="68"/>
      <c r="S105" s="68"/>
      <c r="T105" s="68"/>
      <c r="U105" s="68"/>
      <c r="V105" s="68"/>
      <c r="W105" s="68"/>
      <c r="X105" s="68"/>
      <c r="Y105" s="68"/>
      <c r="AA105" s="64"/>
      <c r="AB105" s="36"/>
      <c r="AC105" s="65"/>
      <c r="AD105" s="65"/>
      <c r="AE105" s="65"/>
      <c r="AF105" s="65"/>
      <c r="AG105" s="65"/>
      <c r="AH105" s="65"/>
      <c r="AI105" s="65"/>
      <c r="AJ105" s="65"/>
      <c r="AK105" s="66"/>
      <c r="AL105" s="189"/>
      <c r="AM105" s="64"/>
      <c r="AN105" s="36"/>
      <c r="AO105" s="65"/>
      <c r="AP105" s="65"/>
      <c r="AQ105" s="65"/>
      <c r="AR105" s="65"/>
      <c r="AS105" s="65"/>
      <c r="AT105" s="65"/>
      <c r="AU105" s="65"/>
      <c r="AV105" s="65"/>
      <c r="AW105" s="66"/>
      <c r="AY105" s="17"/>
    </row>
    <row r="106" spans="1:55" ht="43.5" hidden="1" customHeight="1">
      <c r="A106" s="746"/>
      <c r="B106" s="747"/>
      <c r="C106" s="263" t="e">
        <f>'расчет по услугам'!#REF!</f>
        <v>#REF!</v>
      </c>
      <c r="D106" s="190" t="s">
        <v>192</v>
      </c>
      <c r="E106" s="753" t="e">
        <f>'расчет по услугам'!#REF!</f>
        <v>#REF!</v>
      </c>
      <c r="F106" s="753"/>
      <c r="G106" s="320"/>
      <c r="H106" s="320"/>
      <c r="I106" s="320"/>
      <c r="J106" s="320"/>
      <c r="K106" s="320"/>
      <c r="L106" s="320"/>
      <c r="M106" s="189"/>
      <c r="Q106" s="68"/>
      <c r="R106" s="68"/>
      <c r="S106" s="68"/>
      <c r="T106" s="68"/>
      <c r="U106" s="68"/>
      <c r="V106" s="68"/>
      <c r="W106" s="68"/>
      <c r="X106" s="68"/>
      <c r="Y106" s="68"/>
      <c r="AA106" s="64"/>
      <c r="AB106" s="36"/>
      <c r="AC106" s="65"/>
      <c r="AD106" s="65"/>
      <c r="AE106" s="65"/>
      <c r="AF106" s="65"/>
      <c r="AG106" s="65"/>
      <c r="AH106" s="65"/>
      <c r="AI106" s="65"/>
      <c r="AJ106" s="65"/>
      <c r="AK106" s="66"/>
      <c r="AL106" s="189"/>
      <c r="AM106" s="64"/>
      <c r="AN106" s="36"/>
      <c r="AO106" s="65"/>
      <c r="AP106" s="65"/>
      <c r="AQ106" s="65"/>
      <c r="AR106" s="65"/>
      <c r="AS106" s="65"/>
      <c r="AT106" s="65"/>
      <c r="AU106" s="65"/>
      <c r="AV106" s="65"/>
      <c r="AW106" s="66"/>
      <c r="AY106" s="17"/>
    </row>
    <row r="107" spans="1:55" ht="43.5" hidden="1" customHeight="1">
      <c r="A107" s="746"/>
      <c r="B107" s="747"/>
      <c r="C107" s="263" t="e">
        <f>'расчет по услугам'!#REF!</f>
        <v>#REF!</v>
      </c>
      <c r="D107" s="190" t="s">
        <v>192</v>
      </c>
      <c r="E107" s="753" t="e">
        <f>'расчет по услугам'!#REF!</f>
        <v>#REF!</v>
      </c>
      <c r="F107" s="753"/>
      <c r="G107" s="320"/>
      <c r="H107" s="320"/>
      <c r="I107" s="320"/>
      <c r="J107" s="320"/>
      <c r="K107" s="320"/>
      <c r="L107" s="320"/>
      <c r="M107" s="189"/>
      <c r="Q107" s="68"/>
      <c r="R107" s="68"/>
      <c r="S107" s="68"/>
      <c r="T107" s="68"/>
      <c r="U107" s="68"/>
      <c r="V107" s="68"/>
      <c r="W107" s="68"/>
      <c r="X107" s="68"/>
      <c r="Y107" s="68"/>
      <c r="AA107" s="64"/>
      <c r="AB107" s="36"/>
      <c r="AC107" s="65"/>
      <c r="AD107" s="65"/>
      <c r="AE107" s="65"/>
      <c r="AF107" s="65"/>
      <c r="AG107" s="65"/>
      <c r="AH107" s="65"/>
      <c r="AI107" s="65"/>
      <c r="AJ107" s="65"/>
      <c r="AK107" s="66"/>
      <c r="AL107" s="189"/>
      <c r="AM107" s="64"/>
      <c r="AN107" s="36"/>
      <c r="AO107" s="65"/>
      <c r="AP107" s="65"/>
      <c r="AQ107" s="65"/>
      <c r="AR107" s="65"/>
      <c r="AS107" s="65"/>
      <c r="AT107" s="65"/>
      <c r="AU107" s="65"/>
      <c r="AV107" s="65"/>
      <c r="AW107" s="66"/>
      <c r="AY107" s="17"/>
    </row>
    <row r="108" spans="1:55" ht="43.5" customHeight="1">
      <c r="A108" s="746"/>
      <c r="B108" s="747"/>
      <c r="C108" s="263" t="e">
        <f>'расчет по услугам'!#REF!</f>
        <v>#REF!</v>
      </c>
      <c r="D108" s="190" t="s">
        <v>192</v>
      </c>
      <c r="E108" s="753" t="e">
        <f>'расчет по услугам'!#REF!</f>
        <v>#REF!</v>
      </c>
      <c r="F108" s="753"/>
      <c r="G108" s="320"/>
      <c r="H108" s="320"/>
      <c r="I108" s="320"/>
      <c r="J108" s="320"/>
      <c r="K108" s="320"/>
      <c r="L108" s="320"/>
      <c r="M108" s="189"/>
      <c r="Q108" s="68"/>
      <c r="R108" s="68"/>
      <c r="S108" s="68"/>
      <c r="T108" s="68"/>
      <c r="U108" s="68"/>
      <c r="V108" s="68"/>
      <c r="W108" s="68"/>
      <c r="X108" s="68"/>
      <c r="Y108" s="68"/>
      <c r="AA108" s="64"/>
      <c r="AB108" s="36"/>
      <c r="AC108" s="65"/>
      <c r="AD108" s="65"/>
      <c r="AE108" s="65"/>
      <c r="AF108" s="65"/>
      <c r="AG108" s="65"/>
      <c r="AH108" s="65"/>
      <c r="AI108" s="65"/>
      <c r="AJ108" s="65"/>
      <c r="AK108" s="66"/>
      <c r="AL108" s="189"/>
      <c r="AM108" s="64"/>
      <c r="AN108" s="36"/>
      <c r="AO108" s="65"/>
      <c r="AP108" s="65"/>
      <c r="AQ108" s="65"/>
      <c r="AR108" s="65"/>
      <c r="AS108" s="65"/>
      <c r="AT108" s="65"/>
      <c r="AU108" s="65"/>
      <c r="AV108" s="65"/>
      <c r="AW108" s="66"/>
      <c r="AY108" s="17"/>
    </row>
    <row r="109" spans="1:55" ht="43.5" customHeight="1">
      <c r="A109" s="746"/>
      <c r="B109" s="747"/>
      <c r="C109" s="263" t="e">
        <f>'расчет по услугам'!#REF!</f>
        <v>#REF!</v>
      </c>
      <c r="D109" s="190" t="s">
        <v>192</v>
      </c>
      <c r="E109" s="753" t="e">
        <f>'расчет по услугам'!#REF!</f>
        <v>#REF!</v>
      </c>
      <c r="F109" s="753"/>
      <c r="G109" s="320"/>
      <c r="H109" s="320"/>
      <c r="I109" s="320"/>
      <c r="J109" s="320"/>
      <c r="K109" s="320"/>
      <c r="L109" s="320"/>
      <c r="M109" s="189"/>
      <c r="Q109" s="68"/>
      <c r="R109" s="68"/>
      <c r="S109" s="68"/>
      <c r="T109" s="68"/>
      <c r="U109" s="68"/>
      <c r="V109" s="68"/>
      <c r="W109" s="68"/>
      <c r="X109" s="68"/>
      <c r="Y109" s="68"/>
      <c r="AA109" s="64"/>
      <c r="AB109" s="36"/>
      <c r="AC109" s="65"/>
      <c r="AD109" s="65"/>
      <c r="AE109" s="65"/>
      <c r="AF109" s="65"/>
      <c r="AG109" s="65"/>
      <c r="AH109" s="65"/>
      <c r="AI109" s="65"/>
      <c r="AJ109" s="65"/>
      <c r="AK109" s="66"/>
      <c r="AL109" s="189"/>
      <c r="AM109" s="64"/>
      <c r="AN109" s="36"/>
      <c r="AO109" s="65"/>
      <c r="AP109" s="65"/>
      <c r="AQ109" s="65"/>
      <c r="AR109" s="65"/>
      <c r="AS109" s="65"/>
      <c r="AT109" s="65"/>
      <c r="AU109" s="65"/>
      <c r="AV109" s="65"/>
      <c r="AW109" s="66"/>
      <c r="AY109" s="17"/>
    </row>
    <row r="110" spans="1:55" s="39" customFormat="1" ht="29.25" customHeight="1">
      <c r="A110" s="746"/>
      <c r="B110" s="747"/>
      <c r="C110" s="263" t="e">
        <f>'расчет по услугам'!#REF!</f>
        <v>#REF!</v>
      </c>
      <c r="D110" s="190" t="s">
        <v>192</v>
      </c>
      <c r="E110" s="753" t="e">
        <f>'расчет по услугам'!#REF!</f>
        <v>#REF!</v>
      </c>
      <c r="F110" s="753"/>
      <c r="G110" s="191">
        <v>1</v>
      </c>
      <c r="H110" s="192" t="e">
        <f>F110*G110/#REF!</f>
        <v>#REF!</v>
      </c>
      <c r="I110" s="193">
        <f>586781*1.302</f>
        <v>763988.86200000008</v>
      </c>
      <c r="J110" s="194"/>
      <c r="K110" s="195" t="e">
        <f>H110*I110</f>
        <v>#REF!</v>
      </c>
      <c r="L110" s="196"/>
      <c r="M110" s="274"/>
      <c r="P110" s="68"/>
      <c r="Q110" s="198" t="s">
        <v>232</v>
      </c>
      <c r="R110" s="167" t="s">
        <v>31</v>
      </c>
      <c r="S110" s="169">
        <f>1/2/149*T110</f>
        <v>0.16107382550335569</v>
      </c>
      <c r="T110" s="157">
        <v>48</v>
      </c>
      <c r="U110" s="158">
        <v>1</v>
      </c>
      <c r="V110" s="170">
        <f>S110*U110/T110</f>
        <v>3.3557046979865771E-3</v>
      </c>
      <c r="W110" s="199">
        <f>586781*1.302</f>
        <v>763988.86200000008</v>
      </c>
      <c r="X110" s="119"/>
      <c r="Y110" s="46">
        <f>V110*W110</f>
        <v>2563.7210134228189</v>
      </c>
      <c r="AA110" s="200">
        <v>1</v>
      </c>
      <c r="AB110" s="198" t="s">
        <v>232</v>
      </c>
      <c r="AC110" s="167" t="s">
        <v>31</v>
      </c>
      <c r="AD110" s="169">
        <f>1/2/149*AE110</f>
        <v>0.33892617449664431</v>
      </c>
      <c r="AE110" s="157">
        <v>101</v>
      </c>
      <c r="AF110" s="158">
        <v>1</v>
      </c>
      <c r="AG110" s="170">
        <f>AD110*AF110/AE110</f>
        <v>3.3557046979865771E-3</v>
      </c>
      <c r="AH110" s="199">
        <f>586781*1.302</f>
        <v>763988.86200000008</v>
      </c>
      <c r="AI110" s="119"/>
      <c r="AJ110" s="46">
        <f>AG110*AH110</f>
        <v>2563.7210134228189</v>
      </c>
      <c r="AK110" s="121"/>
      <c r="AL110" s="153"/>
      <c r="AM110" s="200">
        <v>1</v>
      </c>
      <c r="AN110" s="198" t="s">
        <v>232</v>
      </c>
      <c r="AO110" s="167" t="s">
        <v>31</v>
      </c>
      <c r="AP110" s="201">
        <f>1/2</f>
        <v>0.5</v>
      </c>
      <c r="AQ110" s="157">
        <v>149</v>
      </c>
      <c r="AR110" s="158">
        <v>1</v>
      </c>
      <c r="AS110" s="170">
        <f>AP110*AR110/AQ110</f>
        <v>3.3557046979865771E-3</v>
      </c>
      <c r="AT110" s="199">
        <f>586781*1.302</f>
        <v>763988.86200000008</v>
      </c>
      <c r="AU110" s="119"/>
      <c r="AV110" s="46">
        <f>AS110*AT110</f>
        <v>2563.7210134228189</v>
      </c>
      <c r="AW110" s="121"/>
      <c r="AY110" s="202">
        <f>AJ110*149</f>
        <v>381994.43100000004</v>
      </c>
      <c r="BA110" s="54">
        <f>AV110*149</f>
        <v>381994.43100000004</v>
      </c>
      <c r="BB110" s="203">
        <f>AY110+BA110</f>
        <v>763988.86200000008</v>
      </c>
    </row>
    <row r="111" spans="1:55" s="39" customFormat="1" ht="26.25" customHeight="1">
      <c r="A111" s="746"/>
      <c r="B111" s="747"/>
      <c r="C111" s="263" t="e">
        <f>'расчет по услугам'!#REF!</f>
        <v>#REF!</v>
      </c>
      <c r="D111" s="190" t="s">
        <v>192</v>
      </c>
      <c r="E111" s="753" t="e">
        <f>'расчет по услугам'!#REF!</f>
        <v>#REF!</v>
      </c>
      <c r="F111" s="753"/>
      <c r="G111" s="191">
        <v>1</v>
      </c>
      <c r="H111" s="192" t="e">
        <f>F111*G111/#REF!</f>
        <v>#REF!</v>
      </c>
      <c r="I111" s="193">
        <f>193154*1.302</f>
        <v>251486.508</v>
      </c>
      <c r="J111" s="194"/>
      <c r="K111" s="195" t="e">
        <f t="shared" ref="K111" si="87">H111*I111</f>
        <v>#REF!</v>
      </c>
      <c r="L111" s="196"/>
      <c r="M111" s="274"/>
      <c r="P111" s="68"/>
      <c r="Q111" s="198" t="s">
        <v>233</v>
      </c>
      <c r="R111" s="167" t="s">
        <v>31</v>
      </c>
      <c r="S111" s="169">
        <f>1/2/149*T111</f>
        <v>0.16107382550335569</v>
      </c>
      <c r="T111" s="157">
        <f>T110</f>
        <v>48</v>
      </c>
      <c r="U111" s="158">
        <v>1</v>
      </c>
      <c r="V111" s="170">
        <f t="shared" ref="V111" si="88">S111*U111/T111</f>
        <v>3.3557046979865771E-3</v>
      </c>
      <c r="W111" s="199">
        <f>193154*1.302</f>
        <v>251486.508</v>
      </c>
      <c r="X111" s="119"/>
      <c r="Y111" s="46">
        <f t="shared" ref="Y111" si="89">V111*W111</f>
        <v>843.91445637583888</v>
      </c>
      <c r="AA111" s="200">
        <v>2</v>
      </c>
      <c r="AB111" s="198" t="s">
        <v>233</v>
      </c>
      <c r="AC111" s="167" t="s">
        <v>31</v>
      </c>
      <c r="AD111" s="169">
        <f>1/2/149*AE111</f>
        <v>0.33892617449664431</v>
      </c>
      <c r="AE111" s="157">
        <f>AE110</f>
        <v>101</v>
      </c>
      <c r="AF111" s="158">
        <v>1</v>
      </c>
      <c r="AG111" s="170">
        <f t="shared" ref="AG111" si="90">AD111*AF111/AE111</f>
        <v>3.3557046979865771E-3</v>
      </c>
      <c r="AH111" s="199">
        <f>193154*1.302</f>
        <v>251486.508</v>
      </c>
      <c r="AI111" s="119"/>
      <c r="AJ111" s="46">
        <f t="shared" ref="AJ111:AJ113" si="91">AG111*AH111</f>
        <v>843.91445637583888</v>
      </c>
      <c r="AK111" s="121"/>
      <c r="AL111" s="153"/>
      <c r="AM111" s="200">
        <v>2</v>
      </c>
      <c r="AN111" s="198" t="s">
        <v>233</v>
      </c>
      <c r="AO111" s="167" t="s">
        <v>31</v>
      </c>
      <c r="AP111" s="201">
        <f t="shared" ref="AP111" si="92">1/2</f>
        <v>0.5</v>
      </c>
      <c r="AQ111" s="157">
        <f>AQ110</f>
        <v>149</v>
      </c>
      <c r="AR111" s="158">
        <v>1</v>
      </c>
      <c r="AS111" s="170">
        <f t="shared" ref="AS111" si="93">AP111*AR111/AQ111</f>
        <v>3.3557046979865771E-3</v>
      </c>
      <c r="AT111" s="199">
        <f>193154*1.302</f>
        <v>251486.508</v>
      </c>
      <c r="AU111" s="119"/>
      <c r="AV111" s="46">
        <f t="shared" ref="AV111" si="94">AS111*AT111</f>
        <v>843.91445637583888</v>
      </c>
      <c r="AW111" s="121"/>
      <c r="AY111" s="202">
        <f>AJ111*149</f>
        <v>125743.25399999999</v>
      </c>
      <c r="BA111" s="54">
        <f>AV111*149</f>
        <v>125743.25399999999</v>
      </c>
      <c r="BB111" s="203">
        <f t="shared" ref="BB111:BB112" si="95">AY111+BA111</f>
        <v>251486.50799999997</v>
      </c>
    </row>
    <row r="112" spans="1:55" s="39" customFormat="1" ht="32.25" hidden="1" customHeight="1">
      <c r="A112" s="746"/>
      <c r="B112" s="747"/>
      <c r="C112" s="263" t="e">
        <f>'расчет по услугам'!#REF!</f>
        <v>#REF!</v>
      </c>
      <c r="D112" s="190" t="s">
        <v>192</v>
      </c>
      <c r="E112" s="753" t="e">
        <f>'расчет по услугам'!#REF!</f>
        <v>#REF!</v>
      </c>
      <c r="F112" s="753"/>
      <c r="G112" s="191">
        <v>1</v>
      </c>
      <c r="H112" s="192" t="e">
        <f>F112*G112/#REF!</f>
        <v>#REF!</v>
      </c>
      <c r="I112" s="193">
        <f>178360*1.302</f>
        <v>232224.72</v>
      </c>
      <c r="J112" s="194"/>
      <c r="K112" s="195" t="e">
        <f>H112*I112</f>
        <v>#REF!</v>
      </c>
      <c r="L112" s="196"/>
      <c r="M112" s="274"/>
      <c r="P112" s="68"/>
      <c r="Q112" s="198" t="s">
        <v>234</v>
      </c>
      <c r="R112" s="167" t="s">
        <v>31</v>
      </c>
      <c r="S112" s="169">
        <f>1/2/149*T112</f>
        <v>0.16107382550335569</v>
      </c>
      <c r="T112" s="157">
        <f t="shared" ref="T112:T114" si="96">T111</f>
        <v>48</v>
      </c>
      <c r="U112" s="158">
        <v>1</v>
      </c>
      <c r="V112" s="170">
        <f>S112*U112/T112</f>
        <v>3.3557046979865771E-3</v>
      </c>
      <c r="W112" s="199">
        <f>178360*1.302</f>
        <v>232224.72</v>
      </c>
      <c r="X112" s="119"/>
      <c r="Y112" s="46">
        <f>V112*W112</f>
        <v>779.27758389261749</v>
      </c>
      <c r="AA112" s="200">
        <v>3</v>
      </c>
      <c r="AB112" s="198" t="s">
        <v>234</v>
      </c>
      <c r="AC112" s="167" t="s">
        <v>31</v>
      </c>
      <c r="AD112" s="169">
        <f>1/2/149*AE112</f>
        <v>0.33892617449664431</v>
      </c>
      <c r="AE112" s="157">
        <f t="shared" ref="AE112:AE114" si="97">AE111</f>
        <v>101</v>
      </c>
      <c r="AF112" s="158">
        <v>1</v>
      </c>
      <c r="AG112" s="170">
        <f>AD112*AF112/AE112</f>
        <v>3.3557046979865771E-3</v>
      </c>
      <c r="AH112" s="199">
        <f>178360*1.302</f>
        <v>232224.72</v>
      </c>
      <c r="AI112" s="119"/>
      <c r="AJ112" s="46">
        <f>AG112*AH112</f>
        <v>779.27758389261749</v>
      </c>
      <c r="AK112" s="121"/>
      <c r="AL112" s="153"/>
      <c r="AM112" s="200">
        <v>3</v>
      </c>
      <c r="AN112" s="198" t="s">
        <v>234</v>
      </c>
      <c r="AO112" s="167" t="s">
        <v>31</v>
      </c>
      <c r="AP112" s="201">
        <v>0.5</v>
      </c>
      <c r="AQ112" s="157">
        <f t="shared" ref="AQ112:AQ114" si="98">AQ111</f>
        <v>149</v>
      </c>
      <c r="AR112" s="158">
        <v>1</v>
      </c>
      <c r="AS112" s="170">
        <f>AP112*AR112/AQ112</f>
        <v>3.3557046979865771E-3</v>
      </c>
      <c r="AT112" s="199">
        <f>178360*1.302</f>
        <v>232224.72</v>
      </c>
      <c r="AU112" s="119"/>
      <c r="AV112" s="46">
        <f>AS112*AT112</f>
        <v>779.27758389261749</v>
      </c>
      <c r="AW112" s="121"/>
      <c r="AY112" s="202">
        <f>AJ112*149</f>
        <v>116112.36</v>
      </c>
      <c r="BA112" s="54">
        <f>AV112*149</f>
        <v>116112.36</v>
      </c>
      <c r="BB112" s="203">
        <f t="shared" si="95"/>
        <v>232224.72</v>
      </c>
    </row>
    <row r="113" spans="1:57" ht="33.75" customHeight="1" thickBot="1">
      <c r="A113" s="746"/>
      <c r="B113" s="747"/>
      <c r="C113" s="263" t="e">
        <f>'расчет по услугам'!#REF!</f>
        <v>#REF!</v>
      </c>
      <c r="D113" s="190" t="s">
        <v>192</v>
      </c>
      <c r="E113" s="753" t="e">
        <f>'расчет по услугам'!#REF!</f>
        <v>#REF!</v>
      </c>
      <c r="F113" s="753"/>
      <c r="G113" s="191">
        <v>1</v>
      </c>
      <c r="H113" s="192" t="e">
        <f>F113*G113/#REF!</f>
        <v>#REF!</v>
      </c>
      <c r="I113" s="196">
        <f>217614.28*1.302</f>
        <v>283333.79256000003</v>
      </c>
      <c r="J113" s="204"/>
      <c r="K113" s="195" t="e">
        <f t="shared" ref="K113" si="99">H113*I113</f>
        <v>#REF!</v>
      </c>
      <c r="L113" s="205"/>
      <c r="M113" s="274"/>
      <c r="Q113" s="198" t="s">
        <v>51</v>
      </c>
      <c r="R113" s="167" t="s">
        <v>31</v>
      </c>
      <c r="S113" s="201">
        <f>1.5*0.5/149*T113</f>
        <v>0.24161073825503354</v>
      </c>
      <c r="T113" s="157">
        <f t="shared" si="96"/>
        <v>48</v>
      </c>
      <c r="U113" s="158">
        <v>1</v>
      </c>
      <c r="V113" s="170">
        <f>S113*U113/T113</f>
        <v>5.0335570469798654E-3</v>
      </c>
      <c r="W113" s="121">
        <f>217614.28*1.302</f>
        <v>283333.79256000003</v>
      </c>
      <c r="X113" s="30"/>
      <c r="Y113" s="46">
        <f t="shared" ref="Y113" si="100">V113*W113</f>
        <v>1426.1768081879195</v>
      </c>
      <c r="AA113" s="41">
        <v>4</v>
      </c>
      <c r="AB113" s="198" t="s">
        <v>51</v>
      </c>
      <c r="AC113" s="167" t="s">
        <v>31</v>
      </c>
      <c r="AD113" s="201">
        <f>1.5*0.5/149*AE113</f>
        <v>0.50838926174496646</v>
      </c>
      <c r="AE113" s="157">
        <f t="shared" si="97"/>
        <v>101</v>
      </c>
      <c r="AF113" s="158">
        <v>1</v>
      </c>
      <c r="AG113" s="170">
        <f>AD113*AF113/AE113</f>
        <v>5.0335570469798663E-3</v>
      </c>
      <c r="AH113" s="121">
        <f>217614.28*1.302</f>
        <v>283333.79256000003</v>
      </c>
      <c r="AI113" s="30"/>
      <c r="AJ113" s="46">
        <f t="shared" si="91"/>
        <v>1426.1768081879197</v>
      </c>
      <c r="AK113" s="27"/>
      <c r="AL113" s="153"/>
      <c r="AM113" s="41">
        <v>4</v>
      </c>
      <c r="AN113" s="198" t="s">
        <v>51</v>
      </c>
      <c r="AO113" s="167" t="s">
        <v>31</v>
      </c>
      <c r="AP113" s="201">
        <v>0.75</v>
      </c>
      <c r="AQ113" s="157">
        <f t="shared" si="98"/>
        <v>149</v>
      </c>
      <c r="AR113" s="158">
        <v>1</v>
      </c>
      <c r="AS113" s="170">
        <f>AP113*AR113/AQ113</f>
        <v>5.0335570469798654E-3</v>
      </c>
      <c r="AT113" s="121">
        <f>217614.28*1.302</f>
        <v>283333.79256000003</v>
      </c>
      <c r="AU113" s="30"/>
      <c r="AV113" s="46">
        <f>AS113*AT113</f>
        <v>1426.1768081879195</v>
      </c>
      <c r="AW113" s="27"/>
      <c r="AY113" s="17">
        <f>AJ113*149</f>
        <v>212500.34442000004</v>
      </c>
      <c r="BA113" s="38">
        <f>AV113*149</f>
        <v>212500.34442000001</v>
      </c>
      <c r="BB113" s="38">
        <f>AY113+BA113</f>
        <v>425000.68884000008</v>
      </c>
    </row>
    <row r="114" spans="1:57" ht="15" hidden="1" customHeight="1">
      <c r="A114" s="746"/>
      <c r="B114" s="747"/>
      <c r="C114" s="263" t="e">
        <f>'расчет по услугам'!#REF!</f>
        <v>#REF!</v>
      </c>
      <c r="D114" s="190" t="s">
        <v>192</v>
      </c>
      <c r="E114" s="753">
        <f>'[1]расчет свод'!S100</f>
        <v>0</v>
      </c>
      <c r="F114" s="753"/>
      <c r="G114" s="191"/>
      <c r="H114" s="192"/>
      <c r="I114" s="196"/>
      <c r="J114" s="204"/>
      <c r="K114" s="195"/>
      <c r="L114" s="205"/>
      <c r="M114" s="274"/>
      <c r="Q114" s="198"/>
      <c r="R114" s="167"/>
      <c r="S114" s="201"/>
      <c r="T114" s="157">
        <f t="shared" si="96"/>
        <v>48</v>
      </c>
      <c r="U114" s="158"/>
      <c r="V114" s="170"/>
      <c r="W114" s="121"/>
      <c r="X114" s="30"/>
      <c r="Y114" s="46"/>
      <c r="AA114" s="41"/>
      <c r="AB114" s="198"/>
      <c r="AC114" s="167"/>
      <c r="AD114" s="201"/>
      <c r="AE114" s="157">
        <f t="shared" si="97"/>
        <v>101</v>
      </c>
      <c r="AF114" s="158"/>
      <c r="AG114" s="170"/>
      <c r="AH114" s="121"/>
      <c r="AI114" s="30"/>
      <c r="AJ114" s="46"/>
      <c r="AK114" s="27"/>
      <c r="AL114" s="153"/>
      <c r="AM114" s="41"/>
      <c r="AN114" s="198"/>
      <c r="AO114" s="167"/>
      <c r="AP114" s="201"/>
      <c r="AQ114" s="157">
        <f t="shared" si="98"/>
        <v>149</v>
      </c>
      <c r="AR114" s="158"/>
      <c r="AS114" s="170"/>
      <c r="AT114" s="121"/>
      <c r="AU114" s="30"/>
      <c r="AV114" s="46"/>
      <c r="AW114" s="27"/>
      <c r="AY114" s="17">
        <f t="shared" ref="AY114:AY119" si="101">AJ114*135</f>
        <v>0</v>
      </c>
      <c r="BA114" s="38">
        <f t="shared" ref="BA114" si="102">AV114*135</f>
        <v>0</v>
      </c>
      <c r="BB114" s="38">
        <f t="shared" ref="BB114:BB118" si="103">AY114+BA114</f>
        <v>0</v>
      </c>
    </row>
    <row r="115" spans="1:57" ht="27" hidden="1" customHeight="1" thickBot="1">
      <c r="A115" s="746"/>
      <c r="B115" s="747"/>
      <c r="C115" s="321"/>
      <c r="D115" s="321"/>
      <c r="E115" s="258"/>
      <c r="F115" s="322"/>
      <c r="G115" s="191"/>
      <c r="H115" s="192"/>
      <c r="I115" s="196"/>
      <c r="J115" s="204"/>
      <c r="K115" s="195"/>
      <c r="L115" s="205"/>
      <c r="M115" s="276"/>
      <c r="Q115" s="208"/>
      <c r="R115" s="167"/>
      <c r="S115" s="201"/>
      <c r="T115" s="157"/>
      <c r="U115" s="158"/>
      <c r="V115" s="170"/>
      <c r="W115" s="121"/>
      <c r="X115" s="30"/>
      <c r="Y115" s="46"/>
      <c r="AA115" s="9"/>
      <c r="AB115" s="208"/>
      <c r="AC115" s="167"/>
      <c r="AD115" s="201"/>
      <c r="AE115" s="157"/>
      <c r="AF115" s="158"/>
      <c r="AG115" s="170"/>
      <c r="AH115" s="121"/>
      <c r="AI115" s="30"/>
      <c r="AJ115" s="46"/>
      <c r="AK115" s="27"/>
      <c r="AL115" s="206"/>
      <c r="AM115" s="9">
        <v>8</v>
      </c>
      <c r="AN115" s="207" t="s">
        <v>140</v>
      </c>
      <c r="AO115" s="167" t="s">
        <v>31</v>
      </c>
      <c r="AP115" s="201">
        <v>1.75</v>
      </c>
      <c r="AQ115" s="157" t="e">
        <f>#REF!</f>
        <v>#REF!</v>
      </c>
      <c r="AR115" s="158">
        <v>1</v>
      </c>
      <c r="AS115" s="170" t="e">
        <f t="shared" ref="AS115:AS118" si="104">AP115*AR115/AQ115</f>
        <v>#REF!</v>
      </c>
      <c r="AT115" s="121">
        <f>160817.28*1.302</f>
        <v>209384.09856000001</v>
      </c>
      <c r="AU115" s="30"/>
      <c r="AV115" s="46" t="e">
        <f>AS115*AT115</f>
        <v>#REF!</v>
      </c>
      <c r="AW115" s="27"/>
      <c r="AY115" s="17">
        <f t="shared" ref="AY115:AY118" si="105">AJ115*97</f>
        <v>0</v>
      </c>
      <c r="AZ115" s="24"/>
      <c r="BA115" s="38" t="e">
        <f t="shared" ref="BA115:BA118" si="106">AV115*149</f>
        <v>#REF!</v>
      </c>
      <c r="BB115" s="38" t="e">
        <f t="shared" si="103"/>
        <v>#REF!</v>
      </c>
      <c r="BC115" s="24"/>
    </row>
    <row r="116" spans="1:57" ht="27" hidden="1" customHeight="1" thickBot="1">
      <c r="A116" s="746"/>
      <c r="B116" s="747"/>
      <c r="C116" s="321"/>
      <c r="D116" s="321"/>
      <c r="E116" s="258"/>
      <c r="F116" s="322"/>
      <c r="G116" s="191"/>
      <c r="H116" s="192"/>
      <c r="I116" s="196"/>
      <c r="J116" s="204"/>
      <c r="K116" s="195"/>
      <c r="L116" s="205"/>
      <c r="M116" s="276"/>
      <c r="Q116" s="208"/>
      <c r="R116" s="167"/>
      <c r="S116" s="201"/>
      <c r="T116" s="157"/>
      <c r="U116" s="158"/>
      <c r="V116" s="170"/>
      <c r="W116" s="121"/>
      <c r="X116" s="30"/>
      <c r="Y116" s="46"/>
      <c r="AA116" s="9"/>
      <c r="AB116" s="208"/>
      <c r="AC116" s="167"/>
      <c r="AD116" s="201"/>
      <c r="AE116" s="157"/>
      <c r="AF116" s="158"/>
      <c r="AG116" s="170"/>
      <c r="AH116" s="121"/>
      <c r="AI116" s="30"/>
      <c r="AJ116" s="46"/>
      <c r="AK116" s="27"/>
      <c r="AL116" s="206"/>
      <c r="AM116" s="9">
        <v>9</v>
      </c>
      <c r="AN116" s="207" t="s">
        <v>235</v>
      </c>
      <c r="AO116" s="167" t="s">
        <v>31</v>
      </c>
      <c r="AP116" s="201">
        <v>0.5</v>
      </c>
      <c r="AQ116" s="157" t="e">
        <f t="shared" ref="AQ116:AQ118" si="107">AQ115</f>
        <v>#REF!</v>
      </c>
      <c r="AR116" s="158">
        <v>1</v>
      </c>
      <c r="AS116" s="170" t="e">
        <f t="shared" si="104"/>
        <v>#REF!</v>
      </c>
      <c r="AT116" s="121">
        <f>127534.68*1.302</f>
        <v>166050.15336</v>
      </c>
      <c r="AU116" s="30"/>
      <c r="AV116" s="46" t="e">
        <f>AS116*AT116</f>
        <v>#REF!</v>
      </c>
      <c r="AW116" s="27"/>
      <c r="AY116" s="17">
        <f t="shared" si="105"/>
        <v>0</v>
      </c>
      <c r="AZ116" s="24"/>
      <c r="BA116" s="38" t="e">
        <f t="shared" si="106"/>
        <v>#REF!</v>
      </c>
      <c r="BB116" s="38" t="e">
        <f t="shared" si="103"/>
        <v>#REF!</v>
      </c>
      <c r="BC116" s="24"/>
    </row>
    <row r="117" spans="1:57" ht="27" hidden="1" customHeight="1" thickBot="1">
      <c r="A117" s="746"/>
      <c r="B117" s="747"/>
      <c r="C117" s="321"/>
      <c r="D117" s="321"/>
      <c r="E117" s="258"/>
      <c r="F117" s="322"/>
      <c r="G117" s="191"/>
      <c r="H117" s="192"/>
      <c r="I117" s="196"/>
      <c r="J117" s="204"/>
      <c r="K117" s="195"/>
      <c r="L117" s="205"/>
      <c r="M117" s="276"/>
      <c r="Q117" s="208"/>
      <c r="R117" s="167"/>
      <c r="S117" s="201"/>
      <c r="T117" s="157"/>
      <c r="U117" s="158"/>
      <c r="V117" s="170"/>
      <c r="W117" s="121"/>
      <c r="X117" s="30"/>
      <c r="Y117" s="46"/>
      <c r="AA117" s="9"/>
      <c r="AB117" s="208"/>
      <c r="AC117" s="167"/>
      <c r="AD117" s="201"/>
      <c r="AE117" s="157"/>
      <c r="AF117" s="158"/>
      <c r="AG117" s="170"/>
      <c r="AH117" s="121"/>
      <c r="AI117" s="30"/>
      <c r="AJ117" s="46"/>
      <c r="AK117" s="27"/>
      <c r="AL117" s="206"/>
      <c r="AM117" s="9">
        <v>10</v>
      </c>
      <c r="AN117" s="207" t="s">
        <v>236</v>
      </c>
      <c r="AO117" s="167" t="s">
        <v>31</v>
      </c>
      <c r="AP117" s="201">
        <v>2.5</v>
      </c>
      <c r="AQ117" s="157" t="e">
        <f>AQ115</f>
        <v>#REF!</v>
      </c>
      <c r="AR117" s="158">
        <v>1</v>
      </c>
      <c r="AS117" s="170" t="e">
        <f t="shared" si="104"/>
        <v>#REF!</v>
      </c>
      <c r="AT117" s="121">
        <f>174164.74*1.302</f>
        <v>226762.49148</v>
      </c>
      <c r="AU117" s="30"/>
      <c r="AV117" s="46" t="e">
        <f t="shared" ref="AV117:AV118" si="108">AS117*AT117</f>
        <v>#REF!</v>
      </c>
      <c r="AW117" s="27"/>
      <c r="AY117" s="17">
        <f t="shared" si="105"/>
        <v>0</v>
      </c>
      <c r="AZ117" s="24"/>
      <c r="BA117" s="38" t="e">
        <f t="shared" si="106"/>
        <v>#REF!</v>
      </c>
      <c r="BB117" s="209" t="e">
        <f t="shared" si="103"/>
        <v>#REF!</v>
      </c>
      <c r="BC117" s="24"/>
    </row>
    <row r="118" spans="1:57" ht="27" hidden="1" customHeight="1" thickBot="1">
      <c r="A118" s="746"/>
      <c r="B118" s="747"/>
      <c r="C118" s="321"/>
      <c r="D118" s="321"/>
      <c r="E118" s="258"/>
      <c r="F118" s="322"/>
      <c r="G118" s="191"/>
      <c r="H118" s="192"/>
      <c r="I118" s="196"/>
      <c r="J118" s="204"/>
      <c r="K118" s="195"/>
      <c r="L118" s="205"/>
      <c r="M118" s="276"/>
      <c r="Q118" s="208"/>
      <c r="R118" s="167"/>
      <c r="S118" s="201"/>
      <c r="T118" s="157"/>
      <c r="U118" s="158"/>
      <c r="V118" s="170"/>
      <c r="W118" s="121"/>
      <c r="X118" s="30"/>
      <c r="Y118" s="46"/>
      <c r="AA118" s="9"/>
      <c r="AB118" s="208"/>
      <c r="AC118" s="167"/>
      <c r="AD118" s="201"/>
      <c r="AE118" s="157"/>
      <c r="AF118" s="158"/>
      <c r="AG118" s="170"/>
      <c r="AH118" s="121"/>
      <c r="AI118" s="30"/>
      <c r="AJ118" s="46"/>
      <c r="AK118" s="27"/>
      <c r="AL118" s="206"/>
      <c r="AM118" s="9">
        <v>11</v>
      </c>
      <c r="AN118" s="154" t="s">
        <v>237</v>
      </c>
      <c r="AO118" s="167" t="s">
        <v>31</v>
      </c>
      <c r="AP118" s="201">
        <v>2</v>
      </c>
      <c r="AQ118" s="157" t="e">
        <f t="shared" si="107"/>
        <v>#REF!</v>
      </c>
      <c r="AR118" s="158">
        <v>1</v>
      </c>
      <c r="AS118" s="170" t="e">
        <f t="shared" si="104"/>
        <v>#REF!</v>
      </c>
      <c r="AT118" s="121">
        <f>140317.32*1.302</f>
        <v>182693.15064000001</v>
      </c>
      <c r="AU118" s="30"/>
      <c r="AV118" s="46" t="e">
        <f t="shared" si="108"/>
        <v>#REF!</v>
      </c>
      <c r="AW118" s="27"/>
      <c r="AY118" s="17">
        <f t="shared" si="105"/>
        <v>0</v>
      </c>
      <c r="AZ118" s="24" t="e">
        <f>#REF!*2</f>
        <v>#REF!</v>
      </c>
      <c r="BA118" s="38" t="e">
        <f t="shared" si="106"/>
        <v>#REF!</v>
      </c>
      <c r="BB118" s="38" t="e">
        <f t="shared" si="103"/>
        <v>#REF!</v>
      </c>
      <c r="BD118" s="5">
        <v>4172304</v>
      </c>
    </row>
    <row r="119" spans="1:57" ht="15.75" hidden="1" customHeight="1" thickBot="1">
      <c r="A119" s="746"/>
      <c r="B119" s="747"/>
      <c r="C119" s="323"/>
      <c r="D119" s="323"/>
      <c r="E119" s="261"/>
      <c r="F119" s="324"/>
      <c r="G119" s="312"/>
      <c r="H119" s="313"/>
      <c r="I119" s="325"/>
      <c r="J119" s="204"/>
      <c r="K119" s="195"/>
      <c r="L119" s="205"/>
      <c r="M119" s="274"/>
      <c r="Q119" s="210"/>
      <c r="R119" s="41"/>
      <c r="S119" s="42"/>
      <c r="T119" s="43"/>
      <c r="U119" s="44"/>
      <c r="V119" s="45"/>
      <c r="W119" s="211"/>
      <c r="X119" s="30"/>
      <c r="Y119" s="46"/>
      <c r="AA119" s="41"/>
      <c r="AB119" s="210"/>
      <c r="AC119" s="41"/>
      <c r="AD119" s="42"/>
      <c r="AE119" s="43"/>
      <c r="AF119" s="44"/>
      <c r="AG119" s="45"/>
      <c r="AH119" s="211"/>
      <c r="AI119" s="30"/>
      <c r="AJ119" s="46"/>
      <c r="AK119" s="27"/>
      <c r="AL119" s="153"/>
      <c r="AM119" s="41"/>
      <c r="AN119" s="210"/>
      <c r="AO119" s="41"/>
      <c r="AP119" s="42"/>
      <c r="AQ119" s="43"/>
      <c r="AR119" s="44"/>
      <c r="AS119" s="45"/>
      <c r="AT119" s="211"/>
      <c r="AU119" s="30"/>
      <c r="AV119" s="46"/>
      <c r="AW119" s="27"/>
      <c r="AY119" s="17">
        <f t="shared" si="101"/>
        <v>0</v>
      </c>
    </row>
    <row r="120" spans="1:57" ht="15.75" hidden="1" customHeight="1" thickBot="1">
      <c r="A120" s="746"/>
      <c r="B120" s="747"/>
      <c r="C120" s="810"/>
      <c r="D120" s="810"/>
      <c r="E120" s="810"/>
      <c r="F120" s="810"/>
      <c r="G120" s="810"/>
      <c r="H120" s="810"/>
      <c r="I120" s="810"/>
      <c r="J120" s="810"/>
      <c r="K120" s="246" t="e">
        <f>SUM(K110:K119)</f>
        <v>#REF!</v>
      </c>
      <c r="L120" s="205"/>
      <c r="M120" s="275"/>
      <c r="Q120" s="68"/>
      <c r="R120" s="68"/>
      <c r="S120" s="68"/>
      <c r="T120" s="68"/>
      <c r="U120" s="68"/>
      <c r="V120" s="68"/>
      <c r="W120" s="68"/>
      <c r="X120" s="68"/>
      <c r="Y120" s="175">
        <f>SUM(Y110:Y119)</f>
        <v>5613.0898618791944</v>
      </c>
      <c r="AA120" s="811" t="s">
        <v>27</v>
      </c>
      <c r="AB120" s="812"/>
      <c r="AC120" s="812"/>
      <c r="AD120" s="812"/>
      <c r="AE120" s="812"/>
      <c r="AF120" s="812"/>
      <c r="AG120" s="812"/>
      <c r="AH120" s="812"/>
      <c r="AI120" s="813"/>
      <c r="AJ120" s="175">
        <f>SUM(AJ110:AJ119)</f>
        <v>5613.0898618791953</v>
      </c>
      <c r="AK120" s="27"/>
      <c r="AL120" s="162"/>
      <c r="AM120" s="811" t="s">
        <v>27</v>
      </c>
      <c r="AN120" s="812"/>
      <c r="AO120" s="812"/>
      <c r="AP120" s="812"/>
      <c r="AQ120" s="812"/>
      <c r="AR120" s="812"/>
      <c r="AS120" s="812"/>
      <c r="AT120" s="812"/>
      <c r="AU120" s="813"/>
      <c r="AV120" s="175" t="e">
        <f>SUM(AV110:AV119)</f>
        <v>#REF!</v>
      </c>
      <c r="AW120" s="27"/>
      <c r="AY120" s="212">
        <f>AY110+AY111+AY112</f>
        <v>623850.04500000004</v>
      </c>
      <c r="AZ120" s="213">
        <f>AY120*2</f>
        <v>1247700.0900000001</v>
      </c>
      <c r="BA120" s="214">
        <f>BA110+BA111+BA112</f>
        <v>623850.04500000004</v>
      </c>
      <c r="BB120" s="215">
        <f>AY120+BA120</f>
        <v>1247700.0900000001</v>
      </c>
      <c r="BC120" s="216" t="s">
        <v>186</v>
      </c>
      <c r="BD120" s="24">
        <f>BB120+BA19</f>
        <v>4172303.9841</v>
      </c>
      <c r="BE120" s="217">
        <f>BD118-BD120</f>
        <v>1.5899999998509884E-2</v>
      </c>
    </row>
    <row r="121" spans="1:57" s="55" customFormat="1" ht="24" customHeight="1" thickBot="1">
      <c r="A121" s="746"/>
      <c r="B121" s="747"/>
      <c r="C121" s="749" t="s">
        <v>65</v>
      </c>
      <c r="D121" s="749"/>
      <c r="E121" s="749"/>
      <c r="F121" s="749"/>
      <c r="G121" s="749"/>
      <c r="H121" s="749"/>
      <c r="I121" s="749"/>
      <c r="J121" s="749"/>
      <c r="K121" s="749"/>
      <c r="L121" s="749"/>
      <c r="M121" s="180"/>
      <c r="P121" s="181"/>
      <c r="Q121" s="181"/>
      <c r="R121" s="181"/>
      <c r="S121" s="181"/>
      <c r="T121" s="181"/>
      <c r="U121" s="181"/>
      <c r="V121" s="181"/>
      <c r="W121" s="181"/>
      <c r="X121" s="181"/>
      <c r="Y121" s="181"/>
      <c r="Z121" s="33"/>
      <c r="AA121" s="815" t="s">
        <v>65</v>
      </c>
      <c r="AB121" s="816"/>
      <c r="AC121" s="816"/>
      <c r="AD121" s="816"/>
      <c r="AE121" s="816"/>
      <c r="AF121" s="816"/>
      <c r="AG121" s="816"/>
      <c r="AH121" s="816"/>
      <c r="AI121" s="816"/>
      <c r="AJ121" s="816"/>
      <c r="AK121" s="817"/>
      <c r="AL121" s="180"/>
      <c r="AM121" s="815" t="s">
        <v>65</v>
      </c>
      <c r="AN121" s="816"/>
      <c r="AO121" s="816"/>
      <c r="AP121" s="816"/>
      <c r="AQ121" s="816"/>
      <c r="AR121" s="816"/>
      <c r="AS121" s="816"/>
      <c r="AT121" s="816"/>
      <c r="AU121" s="816"/>
      <c r="AV121" s="816"/>
      <c r="AW121" s="817"/>
      <c r="AY121" s="218" t="e">
        <f>AY113+#REF!+#REF!+#REF!+AY117+AY118+AY115</f>
        <v>#REF!</v>
      </c>
      <c r="AZ121" s="219"/>
      <c r="BA121" s="220" t="e">
        <f>BA113+#REF!+#REF!+#REF!+BA117+BA118+BA115+BA116</f>
        <v>#REF!</v>
      </c>
      <c r="BB121" s="221" t="e">
        <f>AY121+BA121</f>
        <v>#REF!</v>
      </c>
      <c r="BC121" s="222" t="s">
        <v>238</v>
      </c>
      <c r="BD121" s="223" t="e">
        <f>BD122-BB121</f>
        <v>#REF!</v>
      </c>
    </row>
    <row r="122" spans="1:57" ht="30" customHeight="1">
      <c r="A122" s="746"/>
      <c r="B122" s="747"/>
      <c r="C122" s="235" t="e">
        <f>'расчет по услугам'!#REF!</f>
        <v>#REF!</v>
      </c>
      <c r="D122" s="292" t="s">
        <v>130</v>
      </c>
      <c r="E122" s="753" t="e">
        <f>'расчет по услугам'!#REF!</f>
        <v>#REF!</v>
      </c>
      <c r="F122" s="753"/>
      <c r="G122" s="191">
        <v>1</v>
      </c>
      <c r="H122" s="192" t="e">
        <f>F122*G122/#REF!</f>
        <v>#REF!</v>
      </c>
      <c r="I122" s="225">
        <v>16000</v>
      </c>
      <c r="J122" s="204"/>
      <c r="K122" s="195" t="e">
        <f t="shared" ref="K122:K141" si="109">H122*I122</f>
        <v>#REF!</v>
      </c>
      <c r="L122" s="205"/>
      <c r="M122" s="274"/>
      <c r="Q122" s="226" t="s">
        <v>114</v>
      </c>
      <c r="R122" s="226" t="s">
        <v>52</v>
      </c>
      <c r="S122" s="227">
        <f t="shared" ref="S122:S132" si="110">0.5/149*T122</f>
        <v>0.16107382550335569</v>
      </c>
      <c r="T122" s="228">
        <v>48</v>
      </c>
      <c r="U122" s="191">
        <v>1</v>
      </c>
      <c r="V122" s="192">
        <f t="shared" ref="V122:V131" si="111">S122*U122/T122</f>
        <v>3.3557046979865771E-3</v>
      </c>
      <c r="W122" s="225">
        <v>16000</v>
      </c>
      <c r="X122" s="204"/>
      <c r="Y122" s="195">
        <f t="shared" ref="Y122:Y141" si="112">V122*W122</f>
        <v>53.691275167785236</v>
      </c>
      <c r="AA122" s="205">
        <v>1</v>
      </c>
      <c r="AB122" s="226" t="s">
        <v>114</v>
      </c>
      <c r="AC122" s="226" t="s">
        <v>52</v>
      </c>
      <c r="AD122" s="227">
        <f t="shared" ref="AD122:AD132" si="113">0.5/149*AE122</f>
        <v>0.33892617449664431</v>
      </c>
      <c r="AE122" s="228">
        <v>101</v>
      </c>
      <c r="AF122" s="191">
        <v>1</v>
      </c>
      <c r="AG122" s="192">
        <f t="shared" ref="AG122:AG131" si="114">AD122*AF122/AE122</f>
        <v>3.3557046979865771E-3</v>
      </c>
      <c r="AH122" s="225">
        <v>16000</v>
      </c>
      <c r="AI122" s="204"/>
      <c r="AJ122" s="195">
        <f t="shared" ref="AJ122:AJ145" si="115">AG122*AH122</f>
        <v>53.691275167785236</v>
      </c>
      <c r="AK122" s="205"/>
      <c r="AL122" s="197"/>
      <c r="AM122" s="205">
        <v>1</v>
      </c>
      <c r="AN122" s="226" t="s">
        <v>114</v>
      </c>
      <c r="AO122" s="229" t="s">
        <v>52</v>
      </c>
      <c r="AP122" s="227">
        <v>0.5</v>
      </c>
      <c r="AQ122" s="228">
        <v>149</v>
      </c>
      <c r="AR122" s="191">
        <v>1</v>
      </c>
      <c r="AS122" s="192">
        <f t="shared" ref="AS122:AS140" si="116">AP122*AR122/AQ122</f>
        <v>3.3557046979865771E-3</v>
      </c>
      <c r="AT122" s="225">
        <v>16000</v>
      </c>
      <c r="AU122" s="204"/>
      <c r="AV122" s="195">
        <f t="shared" ref="AV122:AV136" si="117">AS122*AT122</f>
        <v>53.691275167785236</v>
      </c>
      <c r="AW122" s="205"/>
      <c r="AX122" s="5">
        <v>340</v>
      </c>
      <c r="AY122" s="230">
        <f>AJ122*149</f>
        <v>8000</v>
      </c>
      <c r="AZ122" s="231">
        <f>AV122*149</f>
        <v>8000</v>
      </c>
      <c r="BA122" s="232">
        <f>AY122+AZ122</f>
        <v>16000</v>
      </c>
      <c r="BB122" s="39"/>
      <c r="BD122" s="24">
        <v>3023503.9</v>
      </c>
    </row>
    <row r="123" spans="1:57" ht="30" hidden="1" customHeight="1">
      <c r="A123" s="746"/>
      <c r="B123" s="747"/>
      <c r="C123" s="235" t="e">
        <f>'расчет по услугам'!#REF!</f>
        <v>#REF!</v>
      </c>
      <c r="D123" s="292" t="s">
        <v>130</v>
      </c>
      <c r="E123" s="753" t="e">
        <f>'расчет по услугам'!#REF!</f>
        <v>#REF!</v>
      </c>
      <c r="F123" s="753"/>
      <c r="G123" s="191">
        <v>1</v>
      </c>
      <c r="H123" s="192" t="e">
        <f>F123*G123/#REF!</f>
        <v>#REF!</v>
      </c>
      <c r="I123" s="225">
        <v>100000</v>
      </c>
      <c r="J123" s="204"/>
      <c r="K123" s="195" t="e">
        <f t="shared" si="109"/>
        <v>#REF!</v>
      </c>
      <c r="L123" s="205"/>
      <c r="M123" s="274"/>
      <c r="Q123" s="226" t="s">
        <v>239</v>
      </c>
      <c r="R123" s="226" t="s">
        <v>52</v>
      </c>
      <c r="S123" s="227">
        <f t="shared" si="110"/>
        <v>0.16107382550335569</v>
      </c>
      <c r="T123" s="228">
        <f>T122</f>
        <v>48</v>
      </c>
      <c r="U123" s="191">
        <v>1</v>
      </c>
      <c r="V123" s="192">
        <f t="shared" si="111"/>
        <v>3.3557046979865771E-3</v>
      </c>
      <c r="W123" s="225">
        <v>100000</v>
      </c>
      <c r="X123" s="204"/>
      <c r="Y123" s="195">
        <f t="shared" si="112"/>
        <v>335.57046979865771</v>
      </c>
      <c r="AA123" s="205">
        <v>2</v>
      </c>
      <c r="AB123" s="226" t="s">
        <v>239</v>
      </c>
      <c r="AC123" s="226" t="s">
        <v>52</v>
      </c>
      <c r="AD123" s="227">
        <f t="shared" si="113"/>
        <v>0.33892617449664431</v>
      </c>
      <c r="AE123" s="228">
        <f>AE122</f>
        <v>101</v>
      </c>
      <c r="AF123" s="191">
        <v>1</v>
      </c>
      <c r="AG123" s="192">
        <f t="shared" si="114"/>
        <v>3.3557046979865771E-3</v>
      </c>
      <c r="AH123" s="225">
        <v>100000</v>
      </c>
      <c r="AI123" s="204"/>
      <c r="AJ123" s="195">
        <f t="shared" si="115"/>
        <v>335.57046979865771</v>
      </c>
      <c r="AK123" s="205"/>
      <c r="AL123" s="197"/>
      <c r="AM123" s="205">
        <v>2</v>
      </c>
      <c r="AN123" s="226" t="s">
        <v>239</v>
      </c>
      <c r="AO123" s="229" t="s">
        <v>52</v>
      </c>
      <c r="AP123" s="227">
        <v>0.5</v>
      </c>
      <c r="AQ123" s="228">
        <f>AQ122</f>
        <v>149</v>
      </c>
      <c r="AR123" s="191">
        <v>1</v>
      </c>
      <c r="AS123" s="192">
        <f t="shared" si="116"/>
        <v>3.3557046979865771E-3</v>
      </c>
      <c r="AT123" s="225">
        <v>100000</v>
      </c>
      <c r="AU123" s="204"/>
      <c r="AV123" s="195">
        <f t="shared" si="117"/>
        <v>335.57046979865771</v>
      </c>
      <c r="AW123" s="205"/>
      <c r="AX123" s="5">
        <v>340</v>
      </c>
      <c r="AY123" s="233">
        <f>AJ123*149</f>
        <v>50000</v>
      </c>
      <c r="AZ123" s="231">
        <f t="shared" ref="AZ123:AZ145" si="118">AV123*149</f>
        <v>50000</v>
      </c>
      <c r="BA123" s="232">
        <f t="shared" ref="BA123:BA145" si="119">AY123+AZ123</f>
        <v>100000</v>
      </c>
      <c r="BB123" s="39" t="s">
        <v>197</v>
      </c>
    </row>
    <row r="124" spans="1:57" ht="30" customHeight="1">
      <c r="A124" s="746"/>
      <c r="B124" s="747"/>
      <c r="C124" s="235" t="e">
        <f>'расчет по услугам'!#REF!</f>
        <v>#REF!</v>
      </c>
      <c r="D124" s="292" t="s">
        <v>130</v>
      </c>
      <c r="E124" s="753" t="e">
        <f>'расчет по услугам'!#REF!</f>
        <v>#REF!</v>
      </c>
      <c r="F124" s="753"/>
      <c r="G124" s="191">
        <v>1</v>
      </c>
      <c r="H124" s="192" t="e">
        <f>F124*G124/#REF!</f>
        <v>#REF!</v>
      </c>
      <c r="I124" s="225">
        <v>5000</v>
      </c>
      <c r="J124" s="204"/>
      <c r="K124" s="195" t="e">
        <f t="shared" si="109"/>
        <v>#REF!</v>
      </c>
      <c r="L124" s="205"/>
      <c r="M124" s="274"/>
      <c r="Q124" s="226" t="s">
        <v>115</v>
      </c>
      <c r="R124" s="226" t="s">
        <v>52</v>
      </c>
      <c r="S124" s="227">
        <f t="shared" si="110"/>
        <v>0.16107382550335569</v>
      </c>
      <c r="T124" s="228">
        <f t="shared" ref="T124:T145" si="120">T123</f>
        <v>48</v>
      </c>
      <c r="U124" s="191">
        <v>1</v>
      </c>
      <c r="V124" s="192">
        <f t="shared" si="111"/>
        <v>3.3557046979865771E-3</v>
      </c>
      <c r="W124" s="225">
        <v>5000</v>
      </c>
      <c r="X124" s="204"/>
      <c r="Y124" s="195">
        <f t="shared" si="112"/>
        <v>16.778523489932887</v>
      </c>
      <c r="AA124" s="205">
        <v>3</v>
      </c>
      <c r="AB124" s="226" t="s">
        <v>115</v>
      </c>
      <c r="AC124" s="226" t="s">
        <v>52</v>
      </c>
      <c r="AD124" s="227">
        <f t="shared" si="113"/>
        <v>0.33892617449664431</v>
      </c>
      <c r="AE124" s="228">
        <f t="shared" ref="AE124:AE145" si="121">AE123</f>
        <v>101</v>
      </c>
      <c r="AF124" s="191">
        <v>1</v>
      </c>
      <c r="AG124" s="192">
        <f t="shared" si="114"/>
        <v>3.3557046979865771E-3</v>
      </c>
      <c r="AH124" s="225">
        <v>5000</v>
      </c>
      <c r="AI124" s="204"/>
      <c r="AJ124" s="195">
        <f t="shared" si="115"/>
        <v>16.778523489932887</v>
      </c>
      <c r="AK124" s="205"/>
      <c r="AL124" s="197"/>
      <c r="AM124" s="205">
        <v>3</v>
      </c>
      <c r="AN124" s="226" t="s">
        <v>115</v>
      </c>
      <c r="AO124" s="229" t="s">
        <v>52</v>
      </c>
      <c r="AP124" s="227">
        <v>0.5</v>
      </c>
      <c r="AQ124" s="228">
        <f t="shared" ref="AQ124:AQ141" si="122">AQ123</f>
        <v>149</v>
      </c>
      <c r="AR124" s="191">
        <v>1</v>
      </c>
      <c r="AS124" s="192">
        <f t="shared" si="116"/>
        <v>3.3557046979865771E-3</v>
      </c>
      <c r="AT124" s="225">
        <v>5000</v>
      </c>
      <c r="AU124" s="204"/>
      <c r="AV124" s="195">
        <f t="shared" si="117"/>
        <v>16.778523489932887</v>
      </c>
      <c r="AW124" s="205"/>
      <c r="AX124" s="5">
        <v>226</v>
      </c>
      <c r="AY124" s="233">
        <f t="shared" ref="AY124:AY145" si="123">AJ124*149</f>
        <v>2500</v>
      </c>
      <c r="AZ124" s="231">
        <f t="shared" si="118"/>
        <v>2500</v>
      </c>
      <c r="BA124" s="234">
        <f t="shared" si="119"/>
        <v>5000</v>
      </c>
      <c r="BB124" s="39" t="s">
        <v>240</v>
      </c>
    </row>
    <row r="125" spans="1:57" ht="30" customHeight="1">
      <c r="A125" s="746"/>
      <c r="B125" s="747"/>
      <c r="C125" s="235" t="e">
        <f>'расчет по услугам'!#REF!</f>
        <v>#REF!</v>
      </c>
      <c r="D125" s="292" t="s">
        <v>130</v>
      </c>
      <c r="E125" s="753" t="e">
        <f>'расчет по услугам'!#REF!</f>
        <v>#REF!</v>
      </c>
      <c r="F125" s="753"/>
      <c r="G125" s="191">
        <v>1</v>
      </c>
      <c r="H125" s="192" t="e">
        <f>F125*G125/#REF!</f>
        <v>#REF!</v>
      </c>
      <c r="I125" s="225">
        <v>145000</v>
      </c>
      <c r="J125" s="204"/>
      <c r="K125" s="195" t="e">
        <f t="shared" si="109"/>
        <v>#REF!</v>
      </c>
      <c r="L125" s="205"/>
      <c r="M125" s="274"/>
      <c r="Q125" s="226" t="s">
        <v>98</v>
      </c>
      <c r="R125" s="226" t="s">
        <v>52</v>
      </c>
      <c r="S125" s="227">
        <f t="shared" si="110"/>
        <v>0.16107382550335569</v>
      </c>
      <c r="T125" s="228">
        <f t="shared" si="120"/>
        <v>48</v>
      </c>
      <c r="U125" s="191">
        <v>1</v>
      </c>
      <c r="V125" s="192">
        <f t="shared" si="111"/>
        <v>3.3557046979865771E-3</v>
      </c>
      <c r="W125" s="225">
        <v>145000</v>
      </c>
      <c r="X125" s="204"/>
      <c r="Y125" s="195">
        <f t="shared" si="112"/>
        <v>486.57718120805367</v>
      </c>
      <c r="AA125" s="205">
        <v>4</v>
      </c>
      <c r="AB125" s="226" t="s">
        <v>98</v>
      </c>
      <c r="AC125" s="226" t="s">
        <v>52</v>
      </c>
      <c r="AD125" s="227">
        <f t="shared" si="113"/>
        <v>0.33892617449664431</v>
      </c>
      <c r="AE125" s="228">
        <f t="shared" si="121"/>
        <v>101</v>
      </c>
      <c r="AF125" s="191">
        <v>1</v>
      </c>
      <c r="AG125" s="192">
        <f t="shared" si="114"/>
        <v>3.3557046979865771E-3</v>
      </c>
      <c r="AH125" s="225">
        <v>145000</v>
      </c>
      <c r="AI125" s="204"/>
      <c r="AJ125" s="195">
        <f t="shared" si="115"/>
        <v>486.57718120805367</v>
      </c>
      <c r="AK125" s="205"/>
      <c r="AL125" s="197"/>
      <c r="AM125" s="205">
        <v>4</v>
      </c>
      <c r="AN125" s="226" t="s">
        <v>98</v>
      </c>
      <c r="AO125" s="229" t="s">
        <v>52</v>
      </c>
      <c r="AP125" s="227">
        <v>0.5</v>
      </c>
      <c r="AQ125" s="228">
        <f t="shared" si="122"/>
        <v>149</v>
      </c>
      <c r="AR125" s="191">
        <v>1</v>
      </c>
      <c r="AS125" s="192">
        <f t="shared" si="116"/>
        <v>3.3557046979865771E-3</v>
      </c>
      <c r="AT125" s="225">
        <v>145000</v>
      </c>
      <c r="AU125" s="204"/>
      <c r="AV125" s="195">
        <f t="shared" si="117"/>
        <v>486.57718120805367</v>
      </c>
      <c r="AW125" s="205"/>
      <c r="AX125" s="5">
        <v>226</v>
      </c>
      <c r="AY125" s="233">
        <f t="shared" si="123"/>
        <v>72500</v>
      </c>
      <c r="AZ125" s="231">
        <f t="shared" si="118"/>
        <v>72500</v>
      </c>
      <c r="BA125" s="234">
        <f t="shared" si="119"/>
        <v>145000</v>
      </c>
      <c r="BB125" s="39" t="s">
        <v>240</v>
      </c>
    </row>
    <row r="126" spans="1:57" ht="30" customHeight="1">
      <c r="A126" s="746"/>
      <c r="B126" s="747"/>
      <c r="C126" s="235" t="e">
        <f>'расчет по услугам'!#REF!</f>
        <v>#REF!</v>
      </c>
      <c r="D126" s="292" t="s">
        <v>130</v>
      </c>
      <c r="E126" s="753" t="e">
        <f>'расчет по услугам'!#REF!</f>
        <v>#REF!</v>
      </c>
      <c r="F126" s="753"/>
      <c r="G126" s="191">
        <v>1</v>
      </c>
      <c r="H126" s="192" t="e">
        <f>F126*G126/#REF!</f>
        <v>#REF!</v>
      </c>
      <c r="I126" s="235">
        <v>8000</v>
      </c>
      <c r="J126" s="204"/>
      <c r="K126" s="195" t="e">
        <f t="shared" si="109"/>
        <v>#REF!</v>
      </c>
      <c r="L126" s="205"/>
      <c r="M126" s="274"/>
      <c r="Q126" s="226" t="s">
        <v>116</v>
      </c>
      <c r="R126" s="226" t="s">
        <v>52</v>
      </c>
      <c r="S126" s="227">
        <f t="shared" si="110"/>
        <v>0.16107382550335569</v>
      </c>
      <c r="T126" s="228">
        <f t="shared" si="120"/>
        <v>48</v>
      </c>
      <c r="U126" s="191">
        <v>1</v>
      </c>
      <c r="V126" s="192">
        <f t="shared" si="111"/>
        <v>3.3557046979865771E-3</v>
      </c>
      <c r="W126" s="235">
        <v>8000</v>
      </c>
      <c r="X126" s="204"/>
      <c r="Y126" s="195">
        <f t="shared" si="112"/>
        <v>26.845637583892618</v>
      </c>
      <c r="AA126" s="205">
        <v>5</v>
      </c>
      <c r="AB126" s="226" t="s">
        <v>116</v>
      </c>
      <c r="AC126" s="226" t="s">
        <v>52</v>
      </c>
      <c r="AD126" s="227">
        <f t="shared" si="113"/>
        <v>0.33892617449664431</v>
      </c>
      <c r="AE126" s="228">
        <f t="shared" si="121"/>
        <v>101</v>
      </c>
      <c r="AF126" s="191">
        <v>1</v>
      </c>
      <c r="AG126" s="192">
        <f t="shared" si="114"/>
        <v>3.3557046979865771E-3</v>
      </c>
      <c r="AH126" s="235">
        <v>8000</v>
      </c>
      <c r="AI126" s="204"/>
      <c r="AJ126" s="195">
        <f t="shared" si="115"/>
        <v>26.845637583892618</v>
      </c>
      <c r="AK126" s="205"/>
      <c r="AL126" s="197"/>
      <c r="AM126" s="205">
        <v>5</v>
      </c>
      <c r="AN126" s="226" t="s">
        <v>116</v>
      </c>
      <c r="AO126" s="226" t="s">
        <v>52</v>
      </c>
      <c r="AP126" s="227">
        <v>0.5</v>
      </c>
      <c r="AQ126" s="228">
        <f t="shared" si="122"/>
        <v>149</v>
      </c>
      <c r="AR126" s="191">
        <v>1</v>
      </c>
      <c r="AS126" s="192">
        <f t="shared" si="116"/>
        <v>3.3557046979865771E-3</v>
      </c>
      <c r="AT126" s="235">
        <v>8000</v>
      </c>
      <c r="AU126" s="204"/>
      <c r="AV126" s="195">
        <f t="shared" si="117"/>
        <v>26.845637583892618</v>
      </c>
      <c r="AW126" s="205"/>
      <c r="AX126" s="5">
        <v>226</v>
      </c>
      <c r="AY126" s="233">
        <f t="shared" si="123"/>
        <v>4000</v>
      </c>
      <c r="AZ126" s="231">
        <f t="shared" si="118"/>
        <v>4000</v>
      </c>
      <c r="BA126" s="234">
        <f t="shared" si="119"/>
        <v>8000</v>
      </c>
      <c r="BB126" s="39" t="s">
        <v>240</v>
      </c>
    </row>
    <row r="127" spans="1:57" ht="30" customHeight="1">
      <c r="A127" s="746"/>
      <c r="B127" s="747"/>
      <c r="C127" s="235" t="e">
        <f>'расчет по услугам'!#REF!</f>
        <v>#REF!</v>
      </c>
      <c r="D127" s="292" t="s">
        <v>130</v>
      </c>
      <c r="E127" s="753" t="e">
        <f>'расчет по услугам'!#REF!</f>
        <v>#REF!</v>
      </c>
      <c r="F127" s="753"/>
      <c r="G127" s="191">
        <v>1</v>
      </c>
      <c r="H127" s="192" t="e">
        <f>F127*G127/#REF!</f>
        <v>#REF!</v>
      </c>
      <c r="I127" s="225">
        <v>100000</v>
      </c>
      <c r="J127" s="204"/>
      <c r="K127" s="195" t="e">
        <f t="shared" si="109"/>
        <v>#REF!</v>
      </c>
      <c r="L127" s="205"/>
      <c r="M127" s="274"/>
      <c r="Q127" s="226" t="s">
        <v>241</v>
      </c>
      <c r="R127" s="226" t="s">
        <v>52</v>
      </c>
      <c r="S127" s="227">
        <f t="shared" si="110"/>
        <v>0.16107382550335569</v>
      </c>
      <c r="T127" s="228">
        <f t="shared" si="120"/>
        <v>48</v>
      </c>
      <c r="U127" s="191">
        <v>1</v>
      </c>
      <c r="V127" s="192">
        <f t="shared" si="111"/>
        <v>3.3557046979865771E-3</v>
      </c>
      <c r="W127" s="225">
        <v>100000</v>
      </c>
      <c r="X127" s="204"/>
      <c r="Y127" s="195">
        <f t="shared" si="112"/>
        <v>335.57046979865771</v>
      </c>
      <c r="AA127" s="205">
        <v>6</v>
      </c>
      <c r="AB127" s="226" t="s">
        <v>241</v>
      </c>
      <c r="AC127" s="226" t="s">
        <v>52</v>
      </c>
      <c r="AD127" s="227">
        <f t="shared" si="113"/>
        <v>0.33892617449664431</v>
      </c>
      <c r="AE127" s="228">
        <f t="shared" si="121"/>
        <v>101</v>
      </c>
      <c r="AF127" s="191">
        <v>1</v>
      </c>
      <c r="AG127" s="192">
        <f t="shared" si="114"/>
        <v>3.3557046979865771E-3</v>
      </c>
      <c r="AH127" s="225">
        <v>100000</v>
      </c>
      <c r="AI127" s="204"/>
      <c r="AJ127" s="195">
        <f t="shared" si="115"/>
        <v>335.57046979865771</v>
      </c>
      <c r="AK127" s="205"/>
      <c r="AL127" s="197"/>
      <c r="AM127" s="205">
        <v>6</v>
      </c>
      <c r="AN127" s="226" t="s">
        <v>241</v>
      </c>
      <c r="AO127" s="229" t="s">
        <v>52</v>
      </c>
      <c r="AP127" s="236">
        <v>0.5</v>
      </c>
      <c r="AQ127" s="228">
        <f t="shared" si="122"/>
        <v>149</v>
      </c>
      <c r="AR127" s="191">
        <v>1</v>
      </c>
      <c r="AS127" s="192">
        <f t="shared" si="116"/>
        <v>3.3557046979865771E-3</v>
      </c>
      <c r="AT127" s="225">
        <v>100000</v>
      </c>
      <c r="AU127" s="204"/>
      <c r="AV127" s="195">
        <f t="shared" si="117"/>
        <v>335.57046979865771</v>
      </c>
      <c r="AW127" s="205"/>
      <c r="AX127" s="5">
        <v>226</v>
      </c>
      <c r="AY127" s="233">
        <f t="shared" si="123"/>
        <v>50000</v>
      </c>
      <c r="AZ127" s="231">
        <f t="shared" si="118"/>
        <v>50000</v>
      </c>
      <c r="BA127" s="234">
        <f t="shared" si="119"/>
        <v>100000</v>
      </c>
      <c r="BB127" s="39" t="s">
        <v>240</v>
      </c>
    </row>
    <row r="128" spans="1:57" ht="30" customHeight="1">
      <c r="A128" s="746"/>
      <c r="B128" s="747"/>
      <c r="C128" s="235" t="e">
        <f>'расчет по услугам'!#REF!</f>
        <v>#REF!</v>
      </c>
      <c r="D128" s="292" t="s">
        <v>130</v>
      </c>
      <c r="E128" s="753" t="e">
        <f>'расчет по услугам'!#REF!</f>
        <v>#REF!</v>
      </c>
      <c r="F128" s="753"/>
      <c r="G128" s="191">
        <v>1</v>
      </c>
      <c r="H128" s="192" t="e">
        <f>F128*G128/#REF!</f>
        <v>#REF!</v>
      </c>
      <c r="I128" s="225">
        <v>68695</v>
      </c>
      <c r="J128" s="204"/>
      <c r="K128" s="195" t="e">
        <f t="shared" si="109"/>
        <v>#REF!</v>
      </c>
      <c r="L128" s="205"/>
      <c r="M128" s="274"/>
      <c r="Q128" s="226" t="s">
        <v>242</v>
      </c>
      <c r="R128" s="226" t="s">
        <v>52</v>
      </c>
      <c r="S128" s="227">
        <f t="shared" si="110"/>
        <v>0.16107382550335569</v>
      </c>
      <c r="T128" s="228">
        <f t="shared" si="120"/>
        <v>48</v>
      </c>
      <c r="U128" s="191">
        <v>1</v>
      </c>
      <c r="V128" s="192">
        <f t="shared" si="111"/>
        <v>3.3557046979865771E-3</v>
      </c>
      <c r="W128" s="225">
        <v>68695</v>
      </c>
      <c r="X128" s="204"/>
      <c r="Y128" s="195">
        <f t="shared" si="112"/>
        <v>230.52013422818791</v>
      </c>
      <c r="AA128" s="205">
        <v>7</v>
      </c>
      <c r="AB128" s="226" t="s">
        <v>242</v>
      </c>
      <c r="AC128" s="226" t="s">
        <v>52</v>
      </c>
      <c r="AD128" s="227">
        <f t="shared" si="113"/>
        <v>0.33892617449664431</v>
      </c>
      <c r="AE128" s="228">
        <f t="shared" si="121"/>
        <v>101</v>
      </c>
      <c r="AF128" s="191">
        <v>1</v>
      </c>
      <c r="AG128" s="192">
        <f t="shared" si="114"/>
        <v>3.3557046979865771E-3</v>
      </c>
      <c r="AH128" s="225">
        <v>68695</v>
      </c>
      <c r="AI128" s="204"/>
      <c r="AJ128" s="195">
        <f t="shared" si="115"/>
        <v>230.52013422818791</v>
      </c>
      <c r="AK128" s="205"/>
      <c r="AL128" s="197"/>
      <c r="AM128" s="205">
        <v>7</v>
      </c>
      <c r="AN128" s="226" t="s">
        <v>243</v>
      </c>
      <c r="AO128" s="229" t="s">
        <v>52</v>
      </c>
      <c r="AP128" s="236">
        <v>0.5</v>
      </c>
      <c r="AQ128" s="228">
        <f t="shared" si="122"/>
        <v>149</v>
      </c>
      <c r="AR128" s="191">
        <v>1</v>
      </c>
      <c r="AS128" s="192">
        <f t="shared" si="116"/>
        <v>3.3557046979865771E-3</v>
      </c>
      <c r="AT128" s="225">
        <v>68695</v>
      </c>
      <c r="AU128" s="204"/>
      <c r="AV128" s="195">
        <f t="shared" si="117"/>
        <v>230.52013422818791</v>
      </c>
      <c r="AW128" s="205"/>
      <c r="AX128" s="5">
        <v>226</v>
      </c>
      <c r="AY128" s="233">
        <f t="shared" si="123"/>
        <v>34347.5</v>
      </c>
      <c r="AZ128" s="231">
        <f t="shared" si="118"/>
        <v>34347.5</v>
      </c>
      <c r="BA128" s="234">
        <f t="shared" si="119"/>
        <v>68695</v>
      </c>
      <c r="BB128" s="39" t="s">
        <v>240</v>
      </c>
    </row>
    <row r="129" spans="1:58" ht="30" hidden="1" customHeight="1">
      <c r="A129" s="746"/>
      <c r="B129" s="747"/>
      <c r="C129" s="235" t="e">
        <f>'расчет по услугам'!#REF!</f>
        <v>#REF!</v>
      </c>
      <c r="D129" s="292" t="s">
        <v>130</v>
      </c>
      <c r="E129" s="753" t="e">
        <f>'расчет по услугам'!#REF!</f>
        <v>#REF!</v>
      </c>
      <c r="F129" s="753"/>
      <c r="G129" s="191">
        <v>1</v>
      </c>
      <c r="H129" s="192" t="e">
        <f>F129*G129/#REF!</f>
        <v>#REF!</v>
      </c>
      <c r="I129" s="235">
        <v>115800</v>
      </c>
      <c r="J129" s="204"/>
      <c r="K129" s="195" t="e">
        <f t="shared" si="109"/>
        <v>#REF!</v>
      </c>
      <c r="L129" s="205"/>
      <c r="M129" s="274"/>
      <c r="Q129" s="226" t="s">
        <v>244</v>
      </c>
      <c r="R129" s="226" t="s">
        <v>52</v>
      </c>
      <c r="S129" s="227">
        <f t="shared" si="110"/>
        <v>0.16107382550335569</v>
      </c>
      <c r="T129" s="228">
        <f t="shared" si="120"/>
        <v>48</v>
      </c>
      <c r="U129" s="191">
        <v>1</v>
      </c>
      <c r="V129" s="192">
        <f t="shared" si="111"/>
        <v>3.3557046979865771E-3</v>
      </c>
      <c r="W129" s="235">
        <v>115800</v>
      </c>
      <c r="X129" s="204"/>
      <c r="Y129" s="195">
        <f t="shared" si="112"/>
        <v>388.59060402684565</v>
      </c>
      <c r="AA129" s="205">
        <v>8</v>
      </c>
      <c r="AB129" s="226" t="s">
        <v>244</v>
      </c>
      <c r="AC129" s="226" t="s">
        <v>52</v>
      </c>
      <c r="AD129" s="227">
        <f t="shared" si="113"/>
        <v>0.33892617449664431</v>
      </c>
      <c r="AE129" s="228">
        <f t="shared" si="121"/>
        <v>101</v>
      </c>
      <c r="AF129" s="191">
        <v>1</v>
      </c>
      <c r="AG129" s="192">
        <f t="shared" si="114"/>
        <v>3.3557046979865771E-3</v>
      </c>
      <c r="AH129" s="235">
        <v>115800</v>
      </c>
      <c r="AI129" s="204"/>
      <c r="AJ129" s="195">
        <f t="shared" si="115"/>
        <v>388.59060402684565</v>
      </c>
      <c r="AK129" s="205"/>
      <c r="AL129" s="197"/>
      <c r="AM129" s="205">
        <v>8</v>
      </c>
      <c r="AN129" s="226" t="s">
        <v>244</v>
      </c>
      <c r="AO129" s="226" t="s">
        <v>52</v>
      </c>
      <c r="AP129" s="227">
        <v>0.5</v>
      </c>
      <c r="AQ129" s="228">
        <f t="shared" si="122"/>
        <v>149</v>
      </c>
      <c r="AR129" s="191">
        <v>1</v>
      </c>
      <c r="AS129" s="192">
        <f t="shared" si="116"/>
        <v>3.3557046979865771E-3</v>
      </c>
      <c r="AT129" s="235">
        <v>115800</v>
      </c>
      <c r="AU129" s="204"/>
      <c r="AV129" s="195">
        <f t="shared" si="117"/>
        <v>388.59060402684565</v>
      </c>
      <c r="AW129" s="205"/>
      <c r="AX129" s="5">
        <v>226</v>
      </c>
      <c r="AY129" s="233">
        <f t="shared" si="123"/>
        <v>57900</v>
      </c>
      <c r="AZ129" s="231">
        <f t="shared" si="118"/>
        <v>57900</v>
      </c>
      <c r="BA129" s="234">
        <f t="shared" si="119"/>
        <v>115800</v>
      </c>
      <c r="BB129" s="39" t="s">
        <v>240</v>
      </c>
      <c r="BC129" s="5">
        <v>14415771.93</v>
      </c>
      <c r="BD129" s="24" t="e">
        <f>AY19+BA19+BB120+BB121</f>
        <v>#REF!</v>
      </c>
      <c r="BE129" s="5" t="e">
        <f>BD129-BC129</f>
        <v>#REF!</v>
      </c>
      <c r="BF129" s="5">
        <v>211</v>
      </c>
    </row>
    <row r="130" spans="1:58" ht="30" hidden="1" customHeight="1">
      <c r="A130" s="746"/>
      <c r="B130" s="747"/>
      <c r="C130" s="235" t="e">
        <f>'расчет по услугам'!#REF!</f>
        <v>#REF!</v>
      </c>
      <c r="D130" s="292" t="s">
        <v>130</v>
      </c>
      <c r="E130" s="753" t="e">
        <f>'расчет по услугам'!#REF!</f>
        <v>#REF!</v>
      </c>
      <c r="F130" s="753"/>
      <c r="G130" s="191">
        <v>1</v>
      </c>
      <c r="H130" s="192" t="e">
        <f>F130*G130/#REF!</f>
        <v>#REF!</v>
      </c>
      <c r="I130" s="235">
        <f>56410.7-6410.4-0.3</f>
        <v>49999.999999999993</v>
      </c>
      <c r="J130" s="204"/>
      <c r="K130" s="195" t="e">
        <f t="shared" si="109"/>
        <v>#REF!</v>
      </c>
      <c r="L130" s="205"/>
      <c r="M130" s="274"/>
      <c r="Q130" s="226" t="s">
        <v>245</v>
      </c>
      <c r="R130" s="226" t="s">
        <v>52</v>
      </c>
      <c r="S130" s="227">
        <f t="shared" si="110"/>
        <v>0.16107382550335569</v>
      </c>
      <c r="T130" s="228">
        <f t="shared" si="120"/>
        <v>48</v>
      </c>
      <c r="U130" s="191">
        <v>1</v>
      </c>
      <c r="V130" s="192">
        <f t="shared" si="111"/>
        <v>3.3557046979865771E-3</v>
      </c>
      <c r="W130" s="235">
        <f>56410.7-6410.4-0.3</f>
        <v>49999.999999999993</v>
      </c>
      <c r="X130" s="204"/>
      <c r="Y130" s="195">
        <f t="shared" si="112"/>
        <v>167.78523489932883</v>
      </c>
      <c r="AA130" s="205">
        <v>9</v>
      </c>
      <c r="AB130" s="226" t="s">
        <v>245</v>
      </c>
      <c r="AC130" s="226" t="s">
        <v>52</v>
      </c>
      <c r="AD130" s="227">
        <f t="shared" si="113"/>
        <v>0.33892617449664431</v>
      </c>
      <c r="AE130" s="228">
        <f t="shared" si="121"/>
        <v>101</v>
      </c>
      <c r="AF130" s="191">
        <v>1</v>
      </c>
      <c r="AG130" s="192">
        <f t="shared" si="114"/>
        <v>3.3557046979865771E-3</v>
      </c>
      <c r="AH130" s="235">
        <f>56410.7-6410.4-0.3</f>
        <v>49999.999999999993</v>
      </c>
      <c r="AI130" s="204"/>
      <c r="AJ130" s="195">
        <f t="shared" si="115"/>
        <v>167.78523489932883</v>
      </c>
      <c r="AK130" s="205"/>
      <c r="AL130" s="197"/>
      <c r="AM130" s="205">
        <v>8</v>
      </c>
      <c r="AN130" s="226" t="s">
        <v>245</v>
      </c>
      <c r="AO130" s="226" t="s">
        <v>52</v>
      </c>
      <c r="AP130" s="227">
        <v>0.5</v>
      </c>
      <c r="AQ130" s="228">
        <f t="shared" si="122"/>
        <v>149</v>
      </c>
      <c r="AR130" s="191">
        <v>1</v>
      </c>
      <c r="AS130" s="192">
        <f t="shared" si="116"/>
        <v>3.3557046979865771E-3</v>
      </c>
      <c r="AT130" s="235">
        <f>56410.7-6410.4-0.3</f>
        <v>49999.999999999993</v>
      </c>
      <c r="AU130" s="204"/>
      <c r="AV130" s="195">
        <f t="shared" si="117"/>
        <v>167.78523489932883</v>
      </c>
      <c r="AW130" s="205"/>
      <c r="AX130" s="5">
        <v>226</v>
      </c>
      <c r="AY130" s="233">
        <f t="shared" si="123"/>
        <v>24999.999999999996</v>
      </c>
      <c r="AZ130" s="231">
        <f t="shared" si="118"/>
        <v>24999.999999999996</v>
      </c>
      <c r="BA130" s="234">
        <f t="shared" si="119"/>
        <v>49999.999999999993</v>
      </c>
      <c r="BB130" s="39" t="s">
        <v>240</v>
      </c>
      <c r="BC130" s="5">
        <v>14415771.93</v>
      </c>
      <c r="BD130" s="24" t="e">
        <f>AY20+BA20+BB121+BB122</f>
        <v>#REF!</v>
      </c>
      <c r="BE130" s="5" t="e">
        <f>BD130-BC130</f>
        <v>#REF!</v>
      </c>
      <c r="BF130" s="5">
        <v>211</v>
      </c>
    </row>
    <row r="131" spans="1:58" ht="30" customHeight="1">
      <c r="A131" s="746"/>
      <c r="B131" s="747"/>
      <c r="C131" s="235" t="e">
        <f>'расчет по услугам'!#REF!</f>
        <v>#REF!</v>
      </c>
      <c r="D131" s="292" t="s">
        <v>130</v>
      </c>
      <c r="E131" s="753" t="e">
        <f>'расчет по услугам'!#REF!</f>
        <v>#REF!</v>
      </c>
      <c r="F131" s="753"/>
      <c r="G131" s="191">
        <v>1</v>
      </c>
      <c r="H131" s="192" t="e">
        <f>F131*G131/#REF!</f>
        <v>#REF!</v>
      </c>
      <c r="I131" s="235">
        <v>2500</v>
      </c>
      <c r="J131" s="204"/>
      <c r="K131" s="195" t="e">
        <f t="shared" si="109"/>
        <v>#REF!</v>
      </c>
      <c r="L131" s="205"/>
      <c r="M131" s="274"/>
      <c r="Q131" s="226" t="s">
        <v>118</v>
      </c>
      <c r="R131" s="226" t="s">
        <v>52</v>
      </c>
      <c r="S131" s="227">
        <f t="shared" si="110"/>
        <v>0.16107382550335569</v>
      </c>
      <c r="T131" s="228">
        <f>T129</f>
        <v>48</v>
      </c>
      <c r="U131" s="191">
        <v>1</v>
      </c>
      <c r="V131" s="192">
        <f t="shared" si="111"/>
        <v>3.3557046979865771E-3</v>
      </c>
      <c r="W131" s="235">
        <v>2500</v>
      </c>
      <c r="X131" s="204"/>
      <c r="Y131" s="195">
        <f t="shared" si="112"/>
        <v>8.3892617449664435</v>
      </c>
      <c r="AA131" s="205">
        <v>10</v>
      </c>
      <c r="AB131" s="226" t="s">
        <v>118</v>
      </c>
      <c r="AC131" s="226" t="s">
        <v>52</v>
      </c>
      <c r="AD131" s="227">
        <f t="shared" si="113"/>
        <v>0.33892617449664431</v>
      </c>
      <c r="AE131" s="228">
        <f>AE129</f>
        <v>101</v>
      </c>
      <c r="AF131" s="191">
        <v>1</v>
      </c>
      <c r="AG131" s="192">
        <f t="shared" si="114"/>
        <v>3.3557046979865771E-3</v>
      </c>
      <c r="AH131" s="235">
        <v>2500</v>
      </c>
      <c r="AI131" s="204"/>
      <c r="AJ131" s="195">
        <f t="shared" si="115"/>
        <v>8.3892617449664435</v>
      </c>
      <c r="AK131" s="205"/>
      <c r="AL131" s="197"/>
      <c r="AM131" s="205">
        <v>9</v>
      </c>
      <c r="AN131" s="226" t="s">
        <v>118</v>
      </c>
      <c r="AO131" s="226" t="s">
        <v>52</v>
      </c>
      <c r="AP131" s="227">
        <v>0.5</v>
      </c>
      <c r="AQ131" s="228">
        <f>AQ129</f>
        <v>149</v>
      </c>
      <c r="AR131" s="191">
        <v>1</v>
      </c>
      <c r="AS131" s="192">
        <f t="shared" si="116"/>
        <v>3.3557046979865771E-3</v>
      </c>
      <c r="AT131" s="235">
        <v>2500</v>
      </c>
      <c r="AU131" s="204"/>
      <c r="AV131" s="195">
        <f t="shared" si="117"/>
        <v>8.3892617449664435</v>
      </c>
      <c r="AW131" s="205"/>
      <c r="AX131" s="5">
        <v>290</v>
      </c>
      <c r="AY131" s="233">
        <f t="shared" si="123"/>
        <v>1250</v>
      </c>
      <c r="AZ131" s="231">
        <f t="shared" si="118"/>
        <v>1250</v>
      </c>
      <c r="BA131" s="234">
        <f t="shared" si="119"/>
        <v>2500</v>
      </c>
      <c r="BB131" s="39" t="s">
        <v>240</v>
      </c>
    </row>
    <row r="132" spans="1:58" ht="30" customHeight="1">
      <c r="A132" s="746"/>
      <c r="B132" s="747"/>
      <c r="C132" s="235" t="e">
        <f>'расчет по услугам'!#REF!</f>
        <v>#REF!</v>
      </c>
      <c r="D132" s="292" t="s">
        <v>130</v>
      </c>
      <c r="E132" s="753" t="e">
        <f>'расчет по услугам'!#REF!</f>
        <v>#REF!</v>
      </c>
      <c r="F132" s="753"/>
      <c r="G132" s="191">
        <v>1</v>
      </c>
      <c r="H132" s="192" t="e">
        <f>F132*G132/#REF!</f>
        <v>#REF!</v>
      </c>
      <c r="I132" s="235">
        <v>900</v>
      </c>
      <c r="J132" s="204"/>
      <c r="K132" s="237" t="e">
        <f t="shared" si="109"/>
        <v>#REF!</v>
      </c>
      <c r="L132" s="205"/>
      <c r="M132" s="274"/>
      <c r="Q132" s="226" t="s">
        <v>119</v>
      </c>
      <c r="R132" s="226" t="s">
        <v>52</v>
      </c>
      <c r="S132" s="227">
        <f t="shared" si="110"/>
        <v>0.16107382550335569</v>
      </c>
      <c r="T132" s="228">
        <f t="shared" si="120"/>
        <v>48</v>
      </c>
      <c r="U132" s="191">
        <v>1</v>
      </c>
      <c r="V132" s="192">
        <f>S132*U132/T132</f>
        <v>3.3557046979865771E-3</v>
      </c>
      <c r="W132" s="235">
        <v>900</v>
      </c>
      <c r="X132" s="204"/>
      <c r="Y132" s="237">
        <f t="shared" si="112"/>
        <v>3.0201342281879193</v>
      </c>
      <c r="AA132" s="205">
        <v>11</v>
      </c>
      <c r="AB132" s="226" t="s">
        <v>119</v>
      </c>
      <c r="AC132" s="226" t="s">
        <v>52</v>
      </c>
      <c r="AD132" s="227">
        <f t="shared" si="113"/>
        <v>0.33892617449664431</v>
      </c>
      <c r="AE132" s="228">
        <f t="shared" si="121"/>
        <v>101</v>
      </c>
      <c r="AF132" s="191">
        <v>1</v>
      </c>
      <c r="AG132" s="192">
        <f>AD132*AF132/AE132</f>
        <v>3.3557046979865771E-3</v>
      </c>
      <c r="AH132" s="235">
        <v>900</v>
      </c>
      <c r="AI132" s="204"/>
      <c r="AJ132" s="237">
        <f t="shared" si="115"/>
        <v>3.0201342281879193</v>
      </c>
      <c r="AK132" s="205"/>
      <c r="AL132" s="197"/>
      <c r="AM132" s="205">
        <v>10</v>
      </c>
      <c r="AN132" s="226" t="s">
        <v>119</v>
      </c>
      <c r="AO132" s="226" t="s">
        <v>52</v>
      </c>
      <c r="AP132" s="227">
        <v>0.5</v>
      </c>
      <c r="AQ132" s="228">
        <f t="shared" si="122"/>
        <v>149</v>
      </c>
      <c r="AR132" s="191">
        <v>1</v>
      </c>
      <c r="AS132" s="192">
        <f t="shared" si="116"/>
        <v>3.3557046979865771E-3</v>
      </c>
      <c r="AT132" s="235">
        <v>900</v>
      </c>
      <c r="AU132" s="204"/>
      <c r="AV132" s="237">
        <f t="shared" si="117"/>
        <v>3.0201342281879193</v>
      </c>
      <c r="AW132" s="205"/>
      <c r="AX132" s="5">
        <v>212</v>
      </c>
      <c r="AY132" s="233">
        <f t="shared" si="123"/>
        <v>450</v>
      </c>
      <c r="AZ132" s="231">
        <f t="shared" si="118"/>
        <v>450</v>
      </c>
      <c r="BA132" s="234">
        <f t="shared" si="119"/>
        <v>900</v>
      </c>
      <c r="BB132" s="39" t="s">
        <v>240</v>
      </c>
    </row>
    <row r="133" spans="1:58" ht="30" customHeight="1">
      <c r="A133" s="746"/>
      <c r="B133" s="747"/>
      <c r="C133" s="235" t="e">
        <f>'расчет по услугам'!#REF!</f>
        <v>#REF!</v>
      </c>
      <c r="D133" s="292" t="s">
        <v>130</v>
      </c>
      <c r="E133" s="753" t="e">
        <f>'расчет по услугам'!#REF!</f>
        <v>#REF!</v>
      </c>
      <c r="F133" s="753"/>
      <c r="G133" s="191">
        <v>1</v>
      </c>
      <c r="H133" s="192" t="e">
        <f>F133*G133/#REF!</f>
        <v>#REF!</v>
      </c>
      <c r="I133" s="225">
        <v>5950</v>
      </c>
      <c r="J133" s="204"/>
      <c r="K133" s="195" t="e">
        <f t="shared" si="109"/>
        <v>#REF!</v>
      </c>
      <c r="L133" s="205"/>
      <c r="M133" s="274"/>
      <c r="Q133" s="226" t="s">
        <v>121</v>
      </c>
      <c r="R133" s="226" t="s">
        <v>52</v>
      </c>
      <c r="S133" s="227">
        <f>10/149*T133</f>
        <v>3.2214765100671139</v>
      </c>
      <c r="T133" s="228">
        <f t="shared" si="120"/>
        <v>48</v>
      </c>
      <c r="U133" s="191">
        <v>1</v>
      </c>
      <c r="V133" s="192">
        <f t="shared" ref="V133:V139" si="124">S133*U133/T133</f>
        <v>6.7114093959731544E-2</v>
      </c>
      <c r="W133" s="225">
        <v>5950</v>
      </c>
      <c r="X133" s="204"/>
      <c r="Y133" s="195">
        <f t="shared" si="112"/>
        <v>399.32885906040269</v>
      </c>
      <c r="AA133" s="205">
        <v>12</v>
      </c>
      <c r="AB133" s="226" t="s">
        <v>121</v>
      </c>
      <c r="AC133" s="226" t="s">
        <v>52</v>
      </c>
      <c r="AD133" s="227">
        <f>10/149*AE133</f>
        <v>6.7785234899328861</v>
      </c>
      <c r="AE133" s="228">
        <f t="shared" si="121"/>
        <v>101</v>
      </c>
      <c r="AF133" s="191">
        <v>1</v>
      </c>
      <c r="AG133" s="192">
        <f t="shared" ref="AG133:AG139" si="125">AD133*AF133/AE133</f>
        <v>6.7114093959731544E-2</v>
      </c>
      <c r="AH133" s="225">
        <v>5950</v>
      </c>
      <c r="AI133" s="204"/>
      <c r="AJ133" s="195">
        <f t="shared" si="115"/>
        <v>399.32885906040269</v>
      </c>
      <c r="AK133" s="205"/>
      <c r="AL133" s="197"/>
      <c r="AM133" s="205">
        <v>11</v>
      </c>
      <c r="AN133" s="226" t="s">
        <v>121</v>
      </c>
      <c r="AO133" s="229" t="s">
        <v>52</v>
      </c>
      <c r="AP133" s="227">
        <v>10</v>
      </c>
      <c r="AQ133" s="228">
        <f t="shared" si="122"/>
        <v>149</v>
      </c>
      <c r="AR133" s="191">
        <v>1</v>
      </c>
      <c r="AS133" s="192">
        <f t="shared" si="116"/>
        <v>6.7114093959731544E-2</v>
      </c>
      <c r="AT133" s="225">
        <v>5950</v>
      </c>
      <c r="AU133" s="204"/>
      <c r="AV133" s="195">
        <f t="shared" si="117"/>
        <v>399.32885906040269</v>
      </c>
      <c r="AW133" s="205"/>
      <c r="AX133" s="5">
        <v>226</v>
      </c>
      <c r="AY133" s="233">
        <f t="shared" si="123"/>
        <v>59500</v>
      </c>
      <c r="AZ133" s="231">
        <f t="shared" si="118"/>
        <v>59500</v>
      </c>
      <c r="BA133" s="234">
        <f t="shared" si="119"/>
        <v>119000</v>
      </c>
      <c r="BB133" s="39" t="s">
        <v>240</v>
      </c>
    </row>
    <row r="134" spans="1:58" ht="30" customHeight="1">
      <c r="A134" s="746"/>
      <c r="B134" s="747"/>
      <c r="C134" s="235" t="e">
        <f>'расчет по услугам'!#REF!</f>
        <v>#REF!</v>
      </c>
      <c r="D134" s="238" t="s">
        <v>130</v>
      </c>
      <c r="E134" s="753" t="e">
        <f>'расчет по услугам'!#REF!</f>
        <v>#REF!</v>
      </c>
      <c r="F134" s="753"/>
      <c r="G134" s="191">
        <v>1</v>
      </c>
      <c r="H134" s="192" t="e">
        <f>F134*G134/#REF!</f>
        <v>#REF!</v>
      </c>
      <c r="I134" s="225">
        <v>71000</v>
      </c>
      <c r="J134" s="204"/>
      <c r="K134" s="195" t="e">
        <f t="shared" si="109"/>
        <v>#REF!</v>
      </c>
      <c r="L134" s="205"/>
      <c r="M134" s="274"/>
      <c r="Q134" s="226" t="s">
        <v>246</v>
      </c>
      <c r="R134" s="226" t="s">
        <v>52</v>
      </c>
      <c r="S134" s="227">
        <f>0.5/149*T134</f>
        <v>0.16107382550335569</v>
      </c>
      <c r="T134" s="228">
        <f t="shared" si="120"/>
        <v>48</v>
      </c>
      <c r="U134" s="191">
        <v>1</v>
      </c>
      <c r="V134" s="192">
        <f t="shared" si="124"/>
        <v>3.3557046979865771E-3</v>
      </c>
      <c r="W134" s="225">
        <v>71000</v>
      </c>
      <c r="X134" s="204"/>
      <c r="Y134" s="195">
        <f t="shared" si="112"/>
        <v>238.25503355704697</v>
      </c>
      <c r="AA134" s="205">
        <v>13</v>
      </c>
      <c r="AB134" s="226" t="s">
        <v>246</v>
      </c>
      <c r="AC134" s="226" t="s">
        <v>52</v>
      </c>
      <c r="AD134" s="227">
        <f>0.5/149*AE134</f>
        <v>0.33892617449664431</v>
      </c>
      <c r="AE134" s="228">
        <f t="shared" si="121"/>
        <v>101</v>
      </c>
      <c r="AF134" s="191">
        <v>1</v>
      </c>
      <c r="AG134" s="192">
        <f t="shared" si="125"/>
        <v>3.3557046979865771E-3</v>
      </c>
      <c r="AH134" s="225">
        <v>71000</v>
      </c>
      <c r="AI134" s="204"/>
      <c r="AJ134" s="195">
        <f t="shared" si="115"/>
        <v>238.25503355704697</v>
      </c>
      <c r="AK134" s="205"/>
      <c r="AL134" s="197"/>
      <c r="AM134" s="205">
        <v>12</v>
      </c>
      <c r="AN134" s="226" t="s">
        <v>246</v>
      </c>
      <c r="AO134" s="229" t="s">
        <v>52</v>
      </c>
      <c r="AP134" s="227">
        <v>0.5</v>
      </c>
      <c r="AQ134" s="228">
        <f t="shared" si="122"/>
        <v>149</v>
      </c>
      <c r="AR134" s="191">
        <v>1</v>
      </c>
      <c r="AS134" s="192">
        <f t="shared" si="116"/>
        <v>3.3557046979865771E-3</v>
      </c>
      <c r="AT134" s="225">
        <v>71000</v>
      </c>
      <c r="AU134" s="204"/>
      <c r="AV134" s="195">
        <f t="shared" si="117"/>
        <v>238.25503355704697</v>
      </c>
      <c r="AW134" s="205"/>
      <c r="AX134" s="5">
        <v>226</v>
      </c>
      <c r="AY134" s="233">
        <f t="shared" si="123"/>
        <v>35500</v>
      </c>
      <c r="AZ134" s="231">
        <f t="shared" si="118"/>
        <v>35500</v>
      </c>
      <c r="BA134" s="234">
        <f t="shared" si="119"/>
        <v>71000</v>
      </c>
      <c r="BB134" s="39" t="s">
        <v>240</v>
      </c>
    </row>
    <row r="135" spans="1:58" ht="49.5" customHeight="1">
      <c r="A135" s="746"/>
      <c r="B135" s="747"/>
      <c r="C135" s="235" t="e">
        <f>'расчет по услугам'!#REF!</f>
        <v>#REF!</v>
      </c>
      <c r="D135" s="238" t="s">
        <v>130</v>
      </c>
      <c r="E135" s="753" t="e">
        <f>'расчет по услугам'!#REF!</f>
        <v>#REF!</v>
      </c>
      <c r="F135" s="753"/>
      <c r="G135" s="191">
        <v>1</v>
      </c>
      <c r="H135" s="192" t="e">
        <f>F135*G135/#REF!</f>
        <v>#REF!</v>
      </c>
      <c r="I135" s="235">
        <v>10000</v>
      </c>
      <c r="J135" s="204"/>
      <c r="K135" s="195" t="e">
        <f t="shared" si="109"/>
        <v>#REF!</v>
      </c>
      <c r="L135" s="205"/>
      <c r="M135" s="274"/>
      <c r="Q135" s="226" t="s">
        <v>247</v>
      </c>
      <c r="R135" s="226" t="s">
        <v>52</v>
      </c>
      <c r="S135" s="227">
        <f>0.5/149*T135</f>
        <v>0.16107382550335569</v>
      </c>
      <c r="T135" s="228">
        <f t="shared" si="120"/>
        <v>48</v>
      </c>
      <c r="U135" s="191">
        <v>1</v>
      </c>
      <c r="V135" s="192">
        <f t="shared" si="124"/>
        <v>3.3557046979865771E-3</v>
      </c>
      <c r="W135" s="235">
        <v>10000</v>
      </c>
      <c r="X135" s="204"/>
      <c r="Y135" s="195">
        <f t="shared" si="112"/>
        <v>33.557046979865774</v>
      </c>
      <c r="AA135" s="205">
        <v>14</v>
      </c>
      <c r="AB135" s="226" t="s">
        <v>247</v>
      </c>
      <c r="AC135" s="226" t="s">
        <v>52</v>
      </c>
      <c r="AD135" s="227">
        <f>0.5/149*AE135</f>
        <v>0.33892617449664431</v>
      </c>
      <c r="AE135" s="228">
        <f t="shared" si="121"/>
        <v>101</v>
      </c>
      <c r="AF135" s="191">
        <v>1</v>
      </c>
      <c r="AG135" s="192">
        <f t="shared" si="125"/>
        <v>3.3557046979865771E-3</v>
      </c>
      <c r="AH135" s="235">
        <v>10000</v>
      </c>
      <c r="AI135" s="204"/>
      <c r="AJ135" s="195">
        <f t="shared" si="115"/>
        <v>33.557046979865774</v>
      </c>
      <c r="AK135" s="205"/>
      <c r="AL135" s="197"/>
      <c r="AM135" s="205">
        <v>13</v>
      </c>
      <c r="AN135" s="226" t="s">
        <v>247</v>
      </c>
      <c r="AO135" s="226" t="s">
        <v>52</v>
      </c>
      <c r="AP135" s="227">
        <v>0.5</v>
      </c>
      <c r="AQ135" s="228">
        <f t="shared" si="122"/>
        <v>149</v>
      </c>
      <c r="AR135" s="191">
        <v>1</v>
      </c>
      <c r="AS135" s="192">
        <f t="shared" si="116"/>
        <v>3.3557046979865771E-3</v>
      </c>
      <c r="AT135" s="235">
        <v>10000</v>
      </c>
      <c r="AU135" s="204"/>
      <c r="AV135" s="195">
        <f t="shared" si="117"/>
        <v>33.557046979865774</v>
      </c>
      <c r="AW135" s="205"/>
      <c r="AX135" s="5">
        <v>226</v>
      </c>
      <c r="AY135" s="233">
        <f t="shared" si="123"/>
        <v>5000</v>
      </c>
      <c r="AZ135" s="231">
        <f t="shared" si="118"/>
        <v>5000</v>
      </c>
      <c r="BA135" s="234">
        <f t="shared" si="119"/>
        <v>10000</v>
      </c>
      <c r="BB135" s="39" t="s">
        <v>240</v>
      </c>
    </row>
    <row r="136" spans="1:58" ht="59.25" customHeight="1">
      <c r="A136" s="746"/>
      <c r="B136" s="747"/>
      <c r="C136" s="235" t="e">
        <f>'расчет по услугам'!#REF!</f>
        <v>#REF!</v>
      </c>
      <c r="D136" s="238" t="s">
        <v>130</v>
      </c>
      <c r="E136" s="753" t="e">
        <f>'расчет по услугам'!#REF!</f>
        <v>#REF!</v>
      </c>
      <c r="F136" s="753"/>
      <c r="G136" s="191">
        <v>1</v>
      </c>
      <c r="H136" s="192" t="e">
        <f>F136*G136/#REF!</f>
        <v>#REF!</v>
      </c>
      <c r="I136" s="225">
        <v>10000</v>
      </c>
      <c r="J136" s="204"/>
      <c r="K136" s="195" t="e">
        <f t="shared" si="109"/>
        <v>#REF!</v>
      </c>
      <c r="L136" s="205"/>
      <c r="M136" s="274"/>
      <c r="Q136" s="226" t="s">
        <v>248</v>
      </c>
      <c r="R136" s="226" t="s">
        <v>52</v>
      </c>
      <c r="S136" s="227">
        <f>0.5/149*T136</f>
        <v>0.16107382550335569</v>
      </c>
      <c r="T136" s="228">
        <f t="shared" si="120"/>
        <v>48</v>
      </c>
      <c r="U136" s="191">
        <v>1</v>
      </c>
      <c r="V136" s="192">
        <f t="shared" si="124"/>
        <v>3.3557046979865771E-3</v>
      </c>
      <c r="W136" s="225">
        <v>10000</v>
      </c>
      <c r="X136" s="204"/>
      <c r="Y136" s="195">
        <f t="shared" si="112"/>
        <v>33.557046979865774</v>
      </c>
      <c r="AA136" s="205">
        <v>15</v>
      </c>
      <c r="AB136" s="226" t="s">
        <v>248</v>
      </c>
      <c r="AC136" s="226" t="s">
        <v>52</v>
      </c>
      <c r="AD136" s="227">
        <f>0.5/149*AE136</f>
        <v>0.33892617449664431</v>
      </c>
      <c r="AE136" s="228">
        <f t="shared" si="121"/>
        <v>101</v>
      </c>
      <c r="AF136" s="191">
        <v>1</v>
      </c>
      <c r="AG136" s="192">
        <f t="shared" si="125"/>
        <v>3.3557046979865771E-3</v>
      </c>
      <c r="AH136" s="225">
        <v>10000</v>
      </c>
      <c r="AI136" s="204"/>
      <c r="AJ136" s="195">
        <f t="shared" si="115"/>
        <v>33.557046979865774</v>
      </c>
      <c r="AK136" s="205"/>
      <c r="AL136" s="197"/>
      <c r="AM136" s="205">
        <v>14</v>
      </c>
      <c r="AN136" s="226" t="s">
        <v>248</v>
      </c>
      <c r="AO136" s="229" t="s">
        <v>52</v>
      </c>
      <c r="AP136" s="227">
        <v>0.5</v>
      </c>
      <c r="AQ136" s="228">
        <f t="shared" si="122"/>
        <v>149</v>
      </c>
      <c r="AR136" s="191">
        <v>1</v>
      </c>
      <c r="AS136" s="192">
        <f t="shared" si="116"/>
        <v>3.3557046979865771E-3</v>
      </c>
      <c r="AT136" s="225">
        <v>10000</v>
      </c>
      <c r="AU136" s="204"/>
      <c r="AV136" s="195">
        <f t="shared" si="117"/>
        <v>33.557046979865774</v>
      </c>
      <c r="AW136" s="205"/>
      <c r="AX136" s="5">
        <v>226</v>
      </c>
      <c r="AY136" s="233">
        <f t="shared" si="123"/>
        <v>5000</v>
      </c>
      <c r="AZ136" s="231">
        <f t="shared" si="118"/>
        <v>5000</v>
      </c>
      <c r="BA136" s="234">
        <f t="shared" si="119"/>
        <v>10000</v>
      </c>
      <c r="BB136" s="39" t="s">
        <v>240</v>
      </c>
    </row>
    <row r="137" spans="1:58" ht="30" customHeight="1">
      <c r="A137" s="746"/>
      <c r="B137" s="747"/>
      <c r="C137" s="235" t="e">
        <f>'расчет по услугам'!#REF!</f>
        <v>#REF!</v>
      </c>
      <c r="D137" s="238" t="s">
        <v>130</v>
      </c>
      <c r="E137" s="753" t="e">
        <f>'расчет по услугам'!#REF!</f>
        <v>#REF!</v>
      </c>
      <c r="F137" s="753"/>
      <c r="G137" s="191">
        <v>1</v>
      </c>
      <c r="H137" s="192" t="e">
        <f>F137*G137/#REF!</f>
        <v>#REF!</v>
      </c>
      <c r="I137" s="235">
        <v>30000</v>
      </c>
      <c r="J137" s="204"/>
      <c r="K137" s="195" t="e">
        <f t="shared" si="109"/>
        <v>#REF!</v>
      </c>
      <c r="L137" s="205"/>
      <c r="M137" s="274"/>
      <c r="Q137" s="226" t="s">
        <v>168</v>
      </c>
      <c r="R137" s="226" t="s">
        <v>52</v>
      </c>
      <c r="S137" s="227">
        <f>0.5/149*T137</f>
        <v>0.16107382550335569</v>
      </c>
      <c r="T137" s="228">
        <f t="shared" si="120"/>
        <v>48</v>
      </c>
      <c r="U137" s="191">
        <v>1</v>
      </c>
      <c r="V137" s="192">
        <f t="shared" si="124"/>
        <v>3.3557046979865771E-3</v>
      </c>
      <c r="W137" s="235">
        <v>30000</v>
      </c>
      <c r="X137" s="204"/>
      <c r="Y137" s="195">
        <f t="shared" si="112"/>
        <v>100.67114093959731</v>
      </c>
      <c r="AA137" s="205">
        <v>16</v>
      </c>
      <c r="AB137" s="226" t="s">
        <v>168</v>
      </c>
      <c r="AC137" s="226" t="s">
        <v>52</v>
      </c>
      <c r="AD137" s="227">
        <f>0.5/149*AE137</f>
        <v>0.33892617449664431</v>
      </c>
      <c r="AE137" s="228">
        <f t="shared" si="121"/>
        <v>101</v>
      </c>
      <c r="AF137" s="191">
        <v>1</v>
      </c>
      <c r="AG137" s="192">
        <f t="shared" si="125"/>
        <v>3.3557046979865771E-3</v>
      </c>
      <c r="AH137" s="235">
        <v>30000</v>
      </c>
      <c r="AI137" s="204"/>
      <c r="AJ137" s="195">
        <f t="shared" si="115"/>
        <v>100.67114093959731</v>
      </c>
      <c r="AK137" s="205"/>
      <c r="AL137" s="197"/>
      <c r="AM137" s="205">
        <v>15</v>
      </c>
      <c r="AN137" s="226" t="s">
        <v>168</v>
      </c>
      <c r="AO137" s="226" t="s">
        <v>52</v>
      </c>
      <c r="AP137" s="227">
        <v>0.5</v>
      </c>
      <c r="AQ137" s="228">
        <f t="shared" si="122"/>
        <v>149</v>
      </c>
      <c r="AR137" s="191">
        <v>1</v>
      </c>
      <c r="AS137" s="192">
        <f t="shared" si="116"/>
        <v>3.3557046979865771E-3</v>
      </c>
      <c r="AT137" s="235">
        <v>30000</v>
      </c>
      <c r="AU137" s="204"/>
      <c r="AV137" s="195">
        <f>AS137*AT137</f>
        <v>100.67114093959731</v>
      </c>
      <c r="AW137" s="205"/>
      <c r="AX137" s="5">
        <v>226</v>
      </c>
      <c r="AY137" s="233">
        <f t="shared" si="123"/>
        <v>14999.999999999998</v>
      </c>
      <c r="AZ137" s="231">
        <f t="shared" si="118"/>
        <v>14999.999999999998</v>
      </c>
      <c r="BA137" s="234">
        <f t="shared" si="119"/>
        <v>29999.999999999996</v>
      </c>
      <c r="BB137" s="107" t="s">
        <v>240</v>
      </c>
      <c r="BC137" s="24">
        <f>BA137+BA136+BA135+BA134+BA133+BA129+BA128+BA127+BA126+BA125+BA124+AY54+AY56+BA130</f>
        <v>772488.28859060409</v>
      </c>
    </row>
    <row r="138" spans="1:58" ht="30" customHeight="1">
      <c r="A138" s="746"/>
      <c r="B138" s="747"/>
      <c r="C138" s="235" t="e">
        <f>'расчет по услугам'!#REF!</f>
        <v>#REF!</v>
      </c>
      <c r="D138" s="238" t="s">
        <v>130</v>
      </c>
      <c r="E138" s="753" t="e">
        <f>'расчет по услугам'!#REF!</f>
        <v>#REF!</v>
      </c>
      <c r="F138" s="753"/>
      <c r="G138" s="191">
        <v>1</v>
      </c>
      <c r="H138" s="192" t="e">
        <f>F138*G138/#REF!</f>
        <v>#REF!</v>
      </c>
      <c r="I138" s="235">
        <v>13350</v>
      </c>
      <c r="J138" s="204"/>
      <c r="K138" s="195" t="e">
        <f t="shared" si="109"/>
        <v>#REF!</v>
      </c>
      <c r="L138" s="205"/>
      <c r="M138" s="274"/>
      <c r="Q138" s="226" t="s">
        <v>249</v>
      </c>
      <c r="R138" s="226" t="s">
        <v>52</v>
      </c>
      <c r="S138" s="227">
        <f>1/149*T138</f>
        <v>0.32214765100671139</v>
      </c>
      <c r="T138" s="228">
        <f t="shared" si="120"/>
        <v>48</v>
      </c>
      <c r="U138" s="191">
        <v>1</v>
      </c>
      <c r="V138" s="192">
        <f t="shared" si="124"/>
        <v>6.7114093959731542E-3</v>
      </c>
      <c r="W138" s="235">
        <v>13350</v>
      </c>
      <c r="X138" s="204"/>
      <c r="Y138" s="195">
        <f t="shared" si="112"/>
        <v>89.597315436241615</v>
      </c>
      <c r="AA138" s="205">
        <v>17</v>
      </c>
      <c r="AB138" s="226" t="s">
        <v>249</v>
      </c>
      <c r="AC138" s="226" t="s">
        <v>52</v>
      </c>
      <c r="AD138" s="227">
        <f>1/149*AE138</f>
        <v>0.67785234899328861</v>
      </c>
      <c r="AE138" s="228">
        <f t="shared" si="121"/>
        <v>101</v>
      </c>
      <c r="AF138" s="191">
        <v>1</v>
      </c>
      <c r="AG138" s="192">
        <f t="shared" si="125"/>
        <v>6.7114093959731542E-3</v>
      </c>
      <c r="AH138" s="235">
        <v>13350</v>
      </c>
      <c r="AI138" s="204"/>
      <c r="AJ138" s="195">
        <f t="shared" si="115"/>
        <v>89.597315436241615</v>
      </c>
      <c r="AK138" s="205"/>
      <c r="AL138" s="197"/>
      <c r="AM138" s="205">
        <v>16</v>
      </c>
      <c r="AN138" s="226" t="s">
        <v>249</v>
      </c>
      <c r="AO138" s="226" t="s">
        <v>52</v>
      </c>
      <c r="AP138" s="227">
        <v>1</v>
      </c>
      <c r="AQ138" s="228">
        <f t="shared" si="122"/>
        <v>149</v>
      </c>
      <c r="AR138" s="191">
        <v>1</v>
      </c>
      <c r="AS138" s="192">
        <f t="shared" si="116"/>
        <v>6.7114093959731542E-3</v>
      </c>
      <c r="AT138" s="235">
        <v>13350</v>
      </c>
      <c r="AU138" s="204"/>
      <c r="AV138" s="195">
        <f t="shared" ref="AV138:AV141" si="126">AS138*AT138</f>
        <v>89.597315436241615</v>
      </c>
      <c r="AW138" s="205"/>
      <c r="AX138" s="5" t="s">
        <v>250</v>
      </c>
      <c r="AY138" s="233">
        <f t="shared" si="123"/>
        <v>13350</v>
      </c>
      <c r="AZ138" s="231">
        <f t="shared" si="118"/>
        <v>13350</v>
      </c>
      <c r="BA138" s="234">
        <f t="shared" si="119"/>
        <v>26700</v>
      </c>
      <c r="BB138" s="39"/>
    </row>
    <row r="139" spans="1:58" ht="39" customHeight="1">
      <c r="A139" s="746"/>
      <c r="B139" s="747"/>
      <c r="C139" s="235" t="e">
        <f>'расчет по услугам'!#REF!</f>
        <v>#REF!</v>
      </c>
      <c r="D139" s="238" t="s">
        <v>130</v>
      </c>
      <c r="E139" s="753" t="e">
        <f>'расчет по услугам'!#REF!</f>
        <v>#REF!</v>
      </c>
      <c r="F139" s="753"/>
      <c r="G139" s="191">
        <v>1</v>
      </c>
      <c r="H139" s="192" t="e">
        <f>F139*G139/#REF!</f>
        <v>#REF!</v>
      </c>
      <c r="I139" s="235">
        <v>3800</v>
      </c>
      <c r="J139" s="204"/>
      <c r="K139" s="195" t="e">
        <f t="shared" si="109"/>
        <v>#REF!</v>
      </c>
      <c r="L139" s="205"/>
      <c r="M139" s="274"/>
      <c r="Q139" s="226" t="s">
        <v>251</v>
      </c>
      <c r="R139" s="226" t="s">
        <v>252</v>
      </c>
      <c r="S139" s="227">
        <f>2/149*T139</f>
        <v>0.64429530201342278</v>
      </c>
      <c r="T139" s="228">
        <f t="shared" si="120"/>
        <v>48</v>
      </c>
      <c r="U139" s="191">
        <v>1</v>
      </c>
      <c r="V139" s="192">
        <f t="shared" si="124"/>
        <v>1.3422818791946308E-2</v>
      </c>
      <c r="W139" s="235">
        <v>3800</v>
      </c>
      <c r="X139" s="204"/>
      <c r="Y139" s="195">
        <f t="shared" si="112"/>
        <v>51.006711409395969</v>
      </c>
      <c r="AA139" s="205">
        <v>18</v>
      </c>
      <c r="AB139" s="226" t="s">
        <v>251</v>
      </c>
      <c r="AC139" s="226" t="s">
        <v>252</v>
      </c>
      <c r="AD139" s="227">
        <f>2/149*AE139</f>
        <v>1.3557046979865772</v>
      </c>
      <c r="AE139" s="228">
        <f t="shared" si="121"/>
        <v>101</v>
      </c>
      <c r="AF139" s="191">
        <v>1</v>
      </c>
      <c r="AG139" s="192">
        <f t="shared" si="125"/>
        <v>1.3422818791946308E-2</v>
      </c>
      <c r="AH139" s="235">
        <v>3800</v>
      </c>
      <c r="AI139" s="204"/>
      <c r="AJ139" s="195">
        <f t="shared" si="115"/>
        <v>51.006711409395969</v>
      </c>
      <c r="AK139" s="205"/>
      <c r="AL139" s="197"/>
      <c r="AM139" s="205">
        <v>17</v>
      </c>
      <c r="AN139" s="226" t="s">
        <v>253</v>
      </c>
      <c r="AO139" s="229" t="s">
        <v>254</v>
      </c>
      <c r="AP139" s="227">
        <v>5</v>
      </c>
      <c r="AQ139" s="228">
        <f t="shared" si="122"/>
        <v>149</v>
      </c>
      <c r="AR139" s="191">
        <v>1</v>
      </c>
      <c r="AS139" s="192">
        <f t="shared" si="116"/>
        <v>3.3557046979865772E-2</v>
      </c>
      <c r="AT139" s="225">
        <v>3000</v>
      </c>
      <c r="AU139" s="204"/>
      <c r="AV139" s="195">
        <f t="shared" si="126"/>
        <v>100.67114093959732</v>
      </c>
      <c r="AW139" s="205"/>
      <c r="AX139" s="5">
        <v>340</v>
      </c>
      <c r="AY139" s="233">
        <f t="shared" si="123"/>
        <v>7599.9999999999991</v>
      </c>
      <c r="AZ139" s="231">
        <f t="shared" si="118"/>
        <v>15000.000000000002</v>
      </c>
      <c r="BA139" s="232">
        <f t="shared" si="119"/>
        <v>22600</v>
      </c>
      <c r="BB139" s="39"/>
    </row>
    <row r="140" spans="1:58" ht="30" customHeight="1">
      <c r="A140" s="746"/>
      <c r="B140" s="747"/>
      <c r="C140" s="235" t="e">
        <f>'расчет по услугам'!#REF!</f>
        <v>#REF!</v>
      </c>
      <c r="D140" s="238" t="s">
        <v>130</v>
      </c>
      <c r="E140" s="753" t="e">
        <f>'расчет по услугам'!#REF!</f>
        <v>#REF!</v>
      </c>
      <c r="F140" s="753"/>
      <c r="G140" s="191">
        <v>1</v>
      </c>
      <c r="H140" s="192" t="e">
        <f>F140*G140/#REF!</f>
        <v>#REF!</v>
      </c>
      <c r="I140" s="235">
        <v>60000</v>
      </c>
      <c r="J140" s="204"/>
      <c r="K140" s="195" t="e">
        <f t="shared" si="109"/>
        <v>#REF!</v>
      </c>
      <c r="L140" s="205"/>
      <c r="M140" s="274"/>
      <c r="Q140" s="226" t="s">
        <v>122</v>
      </c>
      <c r="R140" s="226" t="s">
        <v>52</v>
      </c>
      <c r="S140" s="227">
        <f>0.5/149*T140</f>
        <v>0.16107382550335569</v>
      </c>
      <c r="T140" s="228">
        <f t="shared" si="120"/>
        <v>48</v>
      </c>
      <c r="U140" s="191">
        <v>1</v>
      </c>
      <c r="V140" s="192">
        <f>S140*U140/T140</f>
        <v>3.3557046979865771E-3</v>
      </c>
      <c r="W140" s="235">
        <v>60000</v>
      </c>
      <c r="X140" s="204"/>
      <c r="Y140" s="195">
        <f t="shared" si="112"/>
        <v>201.34228187919462</v>
      </c>
      <c r="AA140" s="205">
        <v>19</v>
      </c>
      <c r="AB140" s="226" t="s">
        <v>122</v>
      </c>
      <c r="AC140" s="226" t="s">
        <v>52</v>
      </c>
      <c r="AD140" s="227">
        <f>0.5/149*AE140</f>
        <v>0.33892617449664431</v>
      </c>
      <c r="AE140" s="228">
        <f t="shared" si="121"/>
        <v>101</v>
      </c>
      <c r="AF140" s="191">
        <v>1</v>
      </c>
      <c r="AG140" s="192">
        <f>AD140*AF140/AE140</f>
        <v>3.3557046979865771E-3</v>
      </c>
      <c r="AH140" s="235">
        <v>60000</v>
      </c>
      <c r="AI140" s="204"/>
      <c r="AJ140" s="195">
        <f t="shared" si="115"/>
        <v>201.34228187919462</v>
      </c>
      <c r="AK140" s="205"/>
      <c r="AL140" s="197"/>
      <c r="AM140" s="205">
        <v>18</v>
      </c>
      <c r="AN140" s="226" t="s">
        <v>122</v>
      </c>
      <c r="AO140" s="226" t="s">
        <v>52</v>
      </c>
      <c r="AP140" s="227">
        <v>0.5</v>
      </c>
      <c r="AQ140" s="228">
        <f t="shared" si="122"/>
        <v>149</v>
      </c>
      <c r="AR140" s="191">
        <v>1</v>
      </c>
      <c r="AS140" s="192">
        <f t="shared" si="116"/>
        <v>3.3557046979865771E-3</v>
      </c>
      <c r="AT140" s="235">
        <v>60000</v>
      </c>
      <c r="AU140" s="204"/>
      <c r="AV140" s="195">
        <f t="shared" si="126"/>
        <v>201.34228187919462</v>
      </c>
      <c r="AW140" s="205"/>
      <c r="AX140" s="5">
        <v>340</v>
      </c>
      <c r="AY140" s="233">
        <f t="shared" si="123"/>
        <v>29999.999999999996</v>
      </c>
      <c r="AZ140" s="231">
        <f t="shared" si="118"/>
        <v>29999.999999999996</v>
      </c>
      <c r="BA140" s="232">
        <f t="shared" si="119"/>
        <v>59999.999999999993</v>
      </c>
      <c r="BB140" s="39"/>
    </row>
    <row r="141" spans="1:58" s="242" customFormat="1" ht="39.75" customHeight="1">
      <c r="A141" s="746"/>
      <c r="B141" s="747"/>
      <c r="C141" s="235" t="e">
        <f>'расчет по услугам'!#REF!</f>
        <v>#REF!</v>
      </c>
      <c r="D141" s="238" t="s">
        <v>130</v>
      </c>
      <c r="E141" s="753" t="e">
        <f>'расчет по услугам'!#REF!</f>
        <v>#REF!</v>
      </c>
      <c r="F141" s="753"/>
      <c r="G141" s="191">
        <v>1</v>
      </c>
      <c r="H141" s="192" t="e">
        <f>F141*G141/#REF!</f>
        <v>#REF!</v>
      </c>
      <c r="I141" s="235">
        <v>30000</v>
      </c>
      <c r="J141" s="204"/>
      <c r="K141" s="195" t="e">
        <f t="shared" si="109"/>
        <v>#REF!</v>
      </c>
      <c r="L141" s="240"/>
      <c r="M141" s="277"/>
      <c r="P141" s="243"/>
      <c r="Q141" s="226" t="s">
        <v>255</v>
      </c>
      <c r="R141" s="226" t="s">
        <v>52</v>
      </c>
      <c r="S141" s="227">
        <f>0.5/149*T141</f>
        <v>0.16107382550335569</v>
      </c>
      <c r="T141" s="228">
        <f t="shared" si="120"/>
        <v>48</v>
      </c>
      <c r="U141" s="191">
        <v>1</v>
      </c>
      <c r="V141" s="192">
        <f>S141*U141/T141</f>
        <v>3.3557046979865771E-3</v>
      </c>
      <c r="W141" s="235">
        <v>30000</v>
      </c>
      <c r="X141" s="204"/>
      <c r="Y141" s="195">
        <f t="shared" si="112"/>
        <v>100.67114093959731</v>
      </c>
      <c r="Z141" s="244"/>
      <c r="AA141" s="205">
        <v>20</v>
      </c>
      <c r="AB141" s="226" t="s">
        <v>255</v>
      </c>
      <c r="AC141" s="226" t="s">
        <v>52</v>
      </c>
      <c r="AD141" s="227">
        <f>0.5/149*AE141</f>
        <v>0.33892617449664431</v>
      </c>
      <c r="AE141" s="228">
        <f t="shared" si="121"/>
        <v>101</v>
      </c>
      <c r="AF141" s="191">
        <v>1</v>
      </c>
      <c r="AG141" s="192">
        <f>AD141*AF141/AE141</f>
        <v>3.3557046979865771E-3</v>
      </c>
      <c r="AH141" s="235">
        <v>30000</v>
      </c>
      <c r="AI141" s="204"/>
      <c r="AJ141" s="195">
        <f t="shared" si="115"/>
        <v>100.67114093959731</v>
      </c>
      <c r="AK141" s="240"/>
      <c r="AL141" s="241"/>
      <c r="AM141" s="205">
        <v>19</v>
      </c>
      <c r="AN141" s="226" t="s">
        <v>255</v>
      </c>
      <c r="AO141" s="226" t="s">
        <v>52</v>
      </c>
      <c r="AP141" s="227">
        <v>0.5</v>
      </c>
      <c r="AQ141" s="228">
        <f t="shared" si="122"/>
        <v>149</v>
      </c>
      <c r="AR141" s="191">
        <v>1</v>
      </c>
      <c r="AS141" s="192">
        <f>AP141*AR141/AQ141</f>
        <v>3.3557046979865771E-3</v>
      </c>
      <c r="AT141" s="235">
        <v>30000</v>
      </c>
      <c r="AU141" s="204"/>
      <c r="AV141" s="195">
        <f t="shared" si="126"/>
        <v>100.67114093959731</v>
      </c>
      <c r="AW141" s="240"/>
      <c r="AX141" s="5">
        <v>340</v>
      </c>
      <c r="AY141" s="233">
        <f t="shared" si="123"/>
        <v>14999.999999999998</v>
      </c>
      <c r="AZ141" s="231">
        <f t="shared" si="118"/>
        <v>14999.999999999998</v>
      </c>
      <c r="BA141" s="232">
        <f>AY141+AZ141</f>
        <v>29999.999999999996</v>
      </c>
      <c r="BB141" s="39"/>
    </row>
    <row r="142" spans="1:58" s="242" customFormat="1" ht="15" hidden="1" customHeight="1">
      <c r="A142" s="746"/>
      <c r="B142" s="747"/>
      <c r="C142" s="235" t="e">
        <f>'расчет по услугам'!#REF!</f>
        <v>#REF!</v>
      </c>
      <c r="D142" s="238" t="s">
        <v>130</v>
      </c>
      <c r="E142" s="753" t="e">
        <f>'расчет по услугам'!#REF!</f>
        <v>#REF!</v>
      </c>
      <c r="F142" s="753"/>
      <c r="G142" s="191"/>
      <c r="H142" s="192"/>
      <c r="I142" s="235"/>
      <c r="J142" s="194"/>
      <c r="K142" s="195"/>
      <c r="L142" s="240"/>
      <c r="M142" s="277"/>
      <c r="P142" s="243"/>
      <c r="Q142" s="226"/>
      <c r="R142" s="226"/>
      <c r="S142" s="227"/>
      <c r="T142" s="228"/>
      <c r="U142" s="191"/>
      <c r="V142" s="192"/>
      <c r="W142" s="235"/>
      <c r="X142" s="194"/>
      <c r="Y142" s="195"/>
      <c r="Z142" s="244"/>
      <c r="AA142" s="205"/>
      <c r="AB142" s="226"/>
      <c r="AC142" s="226"/>
      <c r="AD142" s="227"/>
      <c r="AE142" s="228"/>
      <c r="AF142" s="191"/>
      <c r="AG142" s="192"/>
      <c r="AH142" s="235"/>
      <c r="AI142" s="194"/>
      <c r="AJ142" s="195"/>
      <c r="AK142" s="240"/>
      <c r="AL142" s="241"/>
      <c r="AM142" s="205"/>
      <c r="AN142" s="226"/>
      <c r="AO142" s="226"/>
      <c r="AP142" s="227"/>
      <c r="AQ142" s="228"/>
      <c r="AR142" s="191"/>
      <c r="AS142" s="192"/>
      <c r="AT142" s="235"/>
      <c r="AU142" s="194"/>
      <c r="AV142" s="195"/>
      <c r="AW142" s="240"/>
      <c r="AX142" s="5"/>
      <c r="AY142" s="233"/>
      <c r="AZ142" s="231"/>
      <c r="BA142" s="232"/>
      <c r="BB142" s="39"/>
    </row>
    <row r="143" spans="1:58" s="242" customFormat="1" ht="15" hidden="1" customHeight="1">
      <c r="A143" s="746"/>
      <c r="B143" s="747"/>
      <c r="C143" s="235" t="e">
        <f>'расчет по услугам'!#REF!</f>
        <v>#REF!</v>
      </c>
      <c r="D143" s="238" t="s">
        <v>130</v>
      </c>
      <c r="E143" s="753" t="e">
        <f>'расчет по услугам'!#REF!</f>
        <v>#REF!</v>
      </c>
      <c r="F143" s="753"/>
      <c r="G143" s="191"/>
      <c r="H143" s="192"/>
      <c r="I143" s="235"/>
      <c r="J143" s="194"/>
      <c r="K143" s="195"/>
      <c r="L143" s="240"/>
      <c r="M143" s="277"/>
      <c r="P143" s="243"/>
      <c r="Q143" s="226"/>
      <c r="R143" s="226"/>
      <c r="S143" s="227"/>
      <c r="T143" s="228"/>
      <c r="U143" s="191"/>
      <c r="V143" s="192"/>
      <c r="W143" s="235"/>
      <c r="X143" s="194"/>
      <c r="Y143" s="195"/>
      <c r="Z143" s="244"/>
      <c r="AA143" s="205"/>
      <c r="AB143" s="226"/>
      <c r="AC143" s="226"/>
      <c r="AD143" s="227"/>
      <c r="AE143" s="228"/>
      <c r="AF143" s="191"/>
      <c r="AG143" s="192"/>
      <c r="AH143" s="235"/>
      <c r="AI143" s="194"/>
      <c r="AJ143" s="195"/>
      <c r="AK143" s="240"/>
      <c r="AL143" s="241"/>
      <c r="AM143" s="205"/>
      <c r="AN143" s="226"/>
      <c r="AO143" s="226"/>
      <c r="AP143" s="227"/>
      <c r="AQ143" s="228"/>
      <c r="AR143" s="191"/>
      <c r="AS143" s="192"/>
      <c r="AT143" s="235"/>
      <c r="AU143" s="194"/>
      <c r="AV143" s="195"/>
      <c r="AW143" s="240"/>
      <c r="AX143" s="5"/>
      <c r="AY143" s="233"/>
      <c r="AZ143" s="231"/>
      <c r="BA143" s="232"/>
      <c r="BB143" s="39"/>
    </row>
    <row r="144" spans="1:58" ht="15" hidden="1" customHeight="1">
      <c r="A144" s="746"/>
      <c r="B144" s="747"/>
      <c r="C144" s="235" t="e">
        <f>'расчет по услугам'!#REF!</f>
        <v>#REF!</v>
      </c>
      <c r="D144" s="238" t="s">
        <v>130</v>
      </c>
      <c r="E144" s="753" t="e">
        <f>'расчет по услугам'!#REF!</f>
        <v>#REF!</v>
      </c>
      <c r="F144" s="753"/>
      <c r="G144" s="191">
        <v>1</v>
      </c>
      <c r="H144" s="192" t="e">
        <f>F144*G144/#REF!</f>
        <v>#REF!</v>
      </c>
      <c r="I144" s="235">
        <v>40</v>
      </c>
      <c r="J144" s="194"/>
      <c r="K144" s="195" t="e">
        <f t="shared" ref="K144:K145" si="127">H144*I144</f>
        <v>#REF!</v>
      </c>
      <c r="L144" s="205"/>
      <c r="M144" s="274"/>
      <c r="Q144" s="226" t="s">
        <v>256</v>
      </c>
      <c r="R144" s="226" t="s">
        <v>142</v>
      </c>
      <c r="S144" s="227">
        <f>20/149*T144</f>
        <v>6.4429530201342278</v>
      </c>
      <c r="T144" s="228">
        <v>48</v>
      </c>
      <c r="U144" s="191">
        <v>1</v>
      </c>
      <c r="V144" s="192">
        <f t="shared" ref="V144:V145" si="128">S144*U144/T144</f>
        <v>0.13422818791946309</v>
      </c>
      <c r="W144" s="235">
        <v>40</v>
      </c>
      <c r="X144" s="194"/>
      <c r="Y144" s="195">
        <f t="shared" ref="Y144:Y145" si="129">V144*W144</f>
        <v>5.3691275167785237</v>
      </c>
      <c r="AA144" s="205">
        <v>23</v>
      </c>
      <c r="AB144" s="226" t="s">
        <v>256</v>
      </c>
      <c r="AC144" s="226" t="s">
        <v>142</v>
      </c>
      <c r="AD144" s="227">
        <f>20/149*AE144</f>
        <v>13.557046979865772</v>
      </c>
      <c r="AE144" s="228">
        <v>101</v>
      </c>
      <c r="AF144" s="191">
        <v>1</v>
      </c>
      <c r="AG144" s="192">
        <f t="shared" ref="AG144:AG145" si="130">AD144*AF144/AE144</f>
        <v>0.13422818791946309</v>
      </c>
      <c r="AH144" s="235">
        <v>40</v>
      </c>
      <c r="AI144" s="194"/>
      <c r="AJ144" s="195">
        <f t="shared" si="115"/>
        <v>5.3691275167785237</v>
      </c>
      <c r="AK144" s="205"/>
      <c r="AL144" s="197"/>
      <c r="AM144" s="205">
        <v>20</v>
      </c>
      <c r="AN144" s="226" t="s">
        <v>257</v>
      </c>
      <c r="AO144" s="229" t="s">
        <v>142</v>
      </c>
      <c r="AP144" s="227">
        <v>90</v>
      </c>
      <c r="AQ144" s="228">
        <f>AQ141</f>
        <v>149</v>
      </c>
      <c r="AR144" s="191">
        <v>1</v>
      </c>
      <c r="AS144" s="192">
        <f>AP144*AR144/AQ144</f>
        <v>0.60402684563758391</v>
      </c>
      <c r="AT144" s="225">
        <v>700</v>
      </c>
      <c r="AU144" s="204"/>
      <c r="AV144" s="195">
        <f t="shared" ref="AV144:AV145" si="131">AS144*AT144</f>
        <v>422.81879194630875</v>
      </c>
      <c r="AW144" s="205"/>
      <c r="AX144" s="5">
        <v>340</v>
      </c>
      <c r="AY144" s="233">
        <f t="shared" si="123"/>
        <v>800</v>
      </c>
      <c r="AZ144" s="231">
        <f t="shared" si="118"/>
        <v>63000.000000000007</v>
      </c>
      <c r="BA144" s="232">
        <f t="shared" si="119"/>
        <v>63800.000000000007</v>
      </c>
      <c r="BB144" s="39"/>
    </row>
    <row r="145" spans="1:54" ht="15" hidden="1" customHeight="1">
      <c r="A145" s="746"/>
      <c r="B145" s="747"/>
      <c r="C145" s="235" t="e">
        <f>'расчет по услугам'!#REF!</f>
        <v>#REF!</v>
      </c>
      <c r="D145" s="238" t="s">
        <v>130</v>
      </c>
      <c r="E145" s="753" t="e">
        <f>'расчет по услугам'!#REF!</f>
        <v>#REF!</v>
      </c>
      <c r="F145" s="753"/>
      <c r="G145" s="191">
        <v>1</v>
      </c>
      <c r="H145" s="192" t="e">
        <f>F145*G145/#REF!</f>
        <v>#REF!</v>
      </c>
      <c r="I145" s="235">
        <v>250</v>
      </c>
      <c r="J145" s="194"/>
      <c r="K145" s="195" t="e">
        <f t="shared" si="127"/>
        <v>#REF!</v>
      </c>
      <c r="L145" s="205"/>
      <c r="M145" s="274"/>
      <c r="Q145" s="226" t="s">
        <v>259</v>
      </c>
      <c r="R145" s="226" t="s">
        <v>258</v>
      </c>
      <c r="S145" s="227">
        <f>10/149*T145</f>
        <v>3.2214765100671139</v>
      </c>
      <c r="T145" s="228">
        <f t="shared" si="120"/>
        <v>48</v>
      </c>
      <c r="U145" s="191">
        <v>1</v>
      </c>
      <c r="V145" s="192">
        <f t="shared" si="128"/>
        <v>6.7114093959731544E-2</v>
      </c>
      <c r="W145" s="235">
        <v>250</v>
      </c>
      <c r="X145" s="194"/>
      <c r="Y145" s="195">
        <f t="shared" si="129"/>
        <v>16.778523489932887</v>
      </c>
      <c r="AA145" s="205">
        <v>24</v>
      </c>
      <c r="AB145" s="226" t="s">
        <v>259</v>
      </c>
      <c r="AC145" s="226" t="s">
        <v>258</v>
      </c>
      <c r="AD145" s="227">
        <f>10/149*AE145</f>
        <v>6.7785234899328861</v>
      </c>
      <c r="AE145" s="228">
        <f t="shared" si="121"/>
        <v>101</v>
      </c>
      <c r="AF145" s="191">
        <v>1</v>
      </c>
      <c r="AG145" s="192">
        <f t="shared" si="130"/>
        <v>6.7114093959731544E-2</v>
      </c>
      <c r="AH145" s="235">
        <v>250</v>
      </c>
      <c r="AI145" s="194"/>
      <c r="AJ145" s="195">
        <f t="shared" si="115"/>
        <v>16.778523489932887</v>
      </c>
      <c r="AK145" s="205"/>
      <c r="AL145" s="197"/>
      <c r="AM145" s="205">
        <v>21</v>
      </c>
      <c r="AN145" s="226" t="s">
        <v>260</v>
      </c>
      <c r="AO145" s="229" t="s">
        <v>142</v>
      </c>
      <c r="AP145" s="227">
        <v>120</v>
      </c>
      <c r="AQ145" s="228">
        <f t="shared" ref="AQ145" si="132">AQ144</f>
        <v>149</v>
      </c>
      <c r="AR145" s="191">
        <v>1</v>
      </c>
      <c r="AS145" s="192">
        <f t="shared" ref="AS145" si="133">AP145*AR145/AQ145</f>
        <v>0.80536912751677847</v>
      </c>
      <c r="AT145" s="225">
        <v>120</v>
      </c>
      <c r="AU145" s="204"/>
      <c r="AV145" s="195">
        <f t="shared" si="131"/>
        <v>96.644295302013418</v>
      </c>
      <c r="AW145" s="205"/>
      <c r="AX145" s="5">
        <v>340</v>
      </c>
      <c r="AY145" s="233">
        <f t="shared" si="123"/>
        <v>2500</v>
      </c>
      <c r="AZ145" s="231">
        <f t="shared" si="118"/>
        <v>14400</v>
      </c>
      <c r="BA145" s="232">
        <f t="shared" si="119"/>
        <v>16900</v>
      </c>
      <c r="BB145" s="39"/>
    </row>
    <row r="146" spans="1:54" hidden="1">
      <c r="A146" s="746"/>
      <c r="B146" s="747"/>
      <c r="C146" s="235" t="e">
        <f>'расчет по услугам'!#REF!</f>
        <v>#REF!</v>
      </c>
      <c r="D146" s="238" t="s">
        <v>130</v>
      </c>
      <c r="E146" s="753" t="e">
        <f>'расчет по услугам'!#REF!</f>
        <v>#REF!</v>
      </c>
      <c r="F146" s="753"/>
    </row>
  </sheetData>
  <mergeCells count="282">
    <mergeCell ref="A12:A146"/>
    <mergeCell ref="B12:B146"/>
    <mergeCell ref="C12:L12"/>
    <mergeCell ref="AA12:AK12"/>
    <mergeCell ref="AM12:AW12"/>
    <mergeCell ref="E13:F13"/>
    <mergeCell ref="E3:I3"/>
    <mergeCell ref="B6:F6"/>
    <mergeCell ref="E10:F10"/>
    <mergeCell ref="R10:S10"/>
    <mergeCell ref="AC10:AD10"/>
    <mergeCell ref="AO10:AP10"/>
    <mergeCell ref="R13:S13"/>
    <mergeCell ref="AC13:AD13"/>
    <mergeCell ref="AO13:AP13"/>
    <mergeCell ref="E14:F14"/>
    <mergeCell ref="R14:S14"/>
    <mergeCell ref="AC14:AD14"/>
    <mergeCell ref="AO14:AP14"/>
    <mergeCell ref="E11:F11"/>
    <mergeCell ref="R11:S11"/>
    <mergeCell ref="AC11:AD11"/>
    <mergeCell ref="AO11:AP11"/>
    <mergeCell ref="C21:F21"/>
    <mergeCell ref="BC14:BC19"/>
    <mergeCell ref="E15:F15"/>
    <mergeCell ref="R15:S15"/>
    <mergeCell ref="AC15:AD15"/>
    <mergeCell ref="AO15:AP15"/>
    <mergeCell ref="E16:F16"/>
    <mergeCell ref="R16:S16"/>
    <mergeCell ref="AC16:AD16"/>
    <mergeCell ref="E17:F17"/>
    <mergeCell ref="R17:S17"/>
    <mergeCell ref="C19:J19"/>
    <mergeCell ref="AA19:AI19"/>
    <mergeCell ref="AM19:AU19"/>
    <mergeCell ref="E22:F22"/>
    <mergeCell ref="R22:S22"/>
    <mergeCell ref="AC22:AD22"/>
    <mergeCell ref="AO22:AP22"/>
    <mergeCell ref="AC17:AD17"/>
    <mergeCell ref="AO17:AP17"/>
    <mergeCell ref="E18:F18"/>
    <mergeCell ref="R18:S18"/>
    <mergeCell ref="AC18:AD18"/>
    <mergeCell ref="AO18:AP18"/>
    <mergeCell ref="AC28:AD28"/>
    <mergeCell ref="AO28:AP28"/>
    <mergeCell ref="E29:F29"/>
    <mergeCell ref="E23:F23"/>
    <mergeCell ref="R23:S23"/>
    <mergeCell ref="AC23:AD23"/>
    <mergeCell ref="AO23:AP23"/>
    <mergeCell ref="C24:L24"/>
    <mergeCell ref="AA24:AK24"/>
    <mergeCell ref="AM24:AW24"/>
    <mergeCell ref="R29:S29"/>
    <mergeCell ref="AC29:AD29"/>
    <mergeCell ref="AO29:AP29"/>
    <mergeCell ref="E30:F30"/>
    <mergeCell ref="R30:S30"/>
    <mergeCell ref="AC30:AD30"/>
    <mergeCell ref="AO30:AP30"/>
    <mergeCell ref="AW25:AW51"/>
    <mergeCell ref="E26:F26"/>
    <mergeCell ref="R26:S26"/>
    <mergeCell ref="AC26:AD26"/>
    <mergeCell ref="AO26:AP26"/>
    <mergeCell ref="E27:F27"/>
    <mergeCell ref="R27:S27"/>
    <mergeCell ref="AC27:AD27"/>
    <mergeCell ref="AO27:AP27"/>
    <mergeCell ref="E28:F28"/>
    <mergeCell ref="E25:F25"/>
    <mergeCell ref="L25:L51"/>
    <mergeCell ref="R25:S25"/>
    <mergeCell ref="AC25:AD25"/>
    <mergeCell ref="AK25:AK51"/>
    <mergeCell ref="AO25:AP25"/>
    <mergeCell ref="R28:S28"/>
    <mergeCell ref="E33:F33"/>
    <mergeCell ref="R33:S33"/>
    <mergeCell ref="AC33:AD33"/>
    <mergeCell ref="AO33:AP33"/>
    <mergeCell ref="E34:F34"/>
    <mergeCell ref="R34:S34"/>
    <mergeCell ref="AC34:AD34"/>
    <mergeCell ref="AO34:AP34"/>
    <mergeCell ref="E31:F31"/>
    <mergeCell ref="R31:S31"/>
    <mergeCell ref="AC31:AD31"/>
    <mergeCell ref="AO31:AP31"/>
    <mergeCell ref="E32:F32"/>
    <mergeCell ref="R32:S32"/>
    <mergeCell ref="AC32:AD32"/>
    <mergeCell ref="AO32:AP32"/>
    <mergeCell ref="E37:F37"/>
    <mergeCell ref="R37:S37"/>
    <mergeCell ref="AC37:AD37"/>
    <mergeCell ref="AO37:AP37"/>
    <mergeCell ref="E38:F38"/>
    <mergeCell ref="R38:S38"/>
    <mergeCell ref="AC38:AD38"/>
    <mergeCell ref="AO38:AP38"/>
    <mergeCell ref="E35:F35"/>
    <mergeCell ref="R35:S35"/>
    <mergeCell ref="AC35:AD35"/>
    <mergeCell ref="AO35:AP35"/>
    <mergeCell ref="E36:F36"/>
    <mergeCell ref="R36:S36"/>
    <mergeCell ref="AC36:AD36"/>
    <mergeCell ref="AO36:AP36"/>
    <mergeCell ref="E41:F41"/>
    <mergeCell ref="R41:S41"/>
    <mergeCell ref="AC41:AD41"/>
    <mergeCell ref="AO41:AP41"/>
    <mergeCell ref="E42:F42"/>
    <mergeCell ref="R42:S42"/>
    <mergeCell ref="AC42:AD42"/>
    <mergeCell ref="AO42:AP42"/>
    <mergeCell ref="E39:F39"/>
    <mergeCell ref="R39:S39"/>
    <mergeCell ref="AC39:AD39"/>
    <mergeCell ref="AO39:AP39"/>
    <mergeCell ref="E40:F40"/>
    <mergeCell ref="R40:S40"/>
    <mergeCell ref="AC40:AD40"/>
    <mergeCell ref="AO40:AP40"/>
    <mergeCell ref="E45:F45"/>
    <mergeCell ref="R45:S45"/>
    <mergeCell ref="AC45:AD45"/>
    <mergeCell ref="AO45:AP45"/>
    <mergeCell ref="E46:F46"/>
    <mergeCell ref="R46:S46"/>
    <mergeCell ref="AC46:AD46"/>
    <mergeCell ref="AO46:AP46"/>
    <mergeCell ref="E43:F43"/>
    <mergeCell ref="R43:S43"/>
    <mergeCell ref="AC43:AD43"/>
    <mergeCell ref="AO43:AP43"/>
    <mergeCell ref="E44:F44"/>
    <mergeCell ref="R44:S44"/>
    <mergeCell ref="AC44:AD44"/>
    <mergeCell ref="AO44:AP44"/>
    <mergeCell ref="E49:F49"/>
    <mergeCell ref="R49:S49"/>
    <mergeCell ref="AC49:AD49"/>
    <mergeCell ref="AO49:AP49"/>
    <mergeCell ref="E50:F50"/>
    <mergeCell ref="R50:S50"/>
    <mergeCell ref="AC50:AD50"/>
    <mergeCell ref="AO50:AP50"/>
    <mergeCell ref="E47:F47"/>
    <mergeCell ref="R47:S47"/>
    <mergeCell ref="AC47:AD47"/>
    <mergeCell ref="AO47:AP47"/>
    <mergeCell ref="E48:F48"/>
    <mergeCell ref="R48:S48"/>
    <mergeCell ref="AC48:AD48"/>
    <mergeCell ref="AO48:AP48"/>
    <mergeCell ref="E54:F54"/>
    <mergeCell ref="R54:S54"/>
    <mergeCell ref="AC54:AD54"/>
    <mergeCell ref="AO54:AP54"/>
    <mergeCell ref="E55:F55"/>
    <mergeCell ref="R55:S55"/>
    <mergeCell ref="AC55:AD55"/>
    <mergeCell ref="AO55:AP55"/>
    <mergeCell ref="C51:J51"/>
    <mergeCell ref="AA51:AI51"/>
    <mergeCell ref="AM51:AU51"/>
    <mergeCell ref="C53:L53"/>
    <mergeCell ref="AA53:AK53"/>
    <mergeCell ref="AM53:AW53"/>
    <mergeCell ref="AW58:AW67"/>
    <mergeCell ref="C67:J67"/>
    <mergeCell ref="AA67:AI67"/>
    <mergeCell ref="AM67:AU67"/>
    <mergeCell ref="C68:J68"/>
    <mergeCell ref="AA68:AI68"/>
    <mergeCell ref="AM68:AU68"/>
    <mergeCell ref="E56:F56"/>
    <mergeCell ref="R56:S56"/>
    <mergeCell ref="AC56:AD56"/>
    <mergeCell ref="AO56:AP56"/>
    <mergeCell ref="L58:L67"/>
    <mergeCell ref="AK58:AK67"/>
    <mergeCell ref="E75:F75"/>
    <mergeCell ref="C76:J76"/>
    <mergeCell ref="AA76:AI76"/>
    <mergeCell ref="AM76:AU76"/>
    <mergeCell ref="C77:L77"/>
    <mergeCell ref="AA77:AK77"/>
    <mergeCell ref="AM77:AW77"/>
    <mergeCell ref="C71:L71"/>
    <mergeCell ref="AA71:AK71"/>
    <mergeCell ref="AM71:AW71"/>
    <mergeCell ref="E72:F72"/>
    <mergeCell ref="E73:F73"/>
    <mergeCell ref="E74:F74"/>
    <mergeCell ref="E84:F84"/>
    <mergeCell ref="E85:F85"/>
    <mergeCell ref="E86:F86"/>
    <mergeCell ref="C87:J87"/>
    <mergeCell ref="AA87:AI87"/>
    <mergeCell ref="AM87:AU87"/>
    <mergeCell ref="E78:F78"/>
    <mergeCell ref="E79:F79"/>
    <mergeCell ref="E80:F80"/>
    <mergeCell ref="E81:F81"/>
    <mergeCell ref="E82:F82"/>
    <mergeCell ref="E83:F83"/>
    <mergeCell ref="C93:L93"/>
    <mergeCell ref="AA93:AK93"/>
    <mergeCell ref="AM93:AW93"/>
    <mergeCell ref="E94:F94"/>
    <mergeCell ref="E95:F95"/>
    <mergeCell ref="E96:F96"/>
    <mergeCell ref="C88:L88"/>
    <mergeCell ref="AA88:AK88"/>
    <mergeCell ref="AM88:AW88"/>
    <mergeCell ref="C92:J92"/>
    <mergeCell ref="AA92:AI92"/>
    <mergeCell ref="AM92:AU92"/>
    <mergeCell ref="AM101:AU101"/>
    <mergeCell ref="C102:L102"/>
    <mergeCell ref="AA102:AK102"/>
    <mergeCell ref="AM102:AW102"/>
    <mergeCell ref="E97:F97"/>
    <mergeCell ref="C98:J98"/>
    <mergeCell ref="AA98:AI98"/>
    <mergeCell ref="AM98:AU98"/>
    <mergeCell ref="C99:L99"/>
    <mergeCell ref="AA99:AK99"/>
    <mergeCell ref="AM99:AW99"/>
    <mergeCell ref="E103:F103"/>
    <mergeCell ref="E104:F104"/>
    <mergeCell ref="E105:F105"/>
    <mergeCell ref="E106:F106"/>
    <mergeCell ref="E107:F107"/>
    <mergeCell ref="E108:F108"/>
    <mergeCell ref="E100:F100"/>
    <mergeCell ref="C101:J101"/>
    <mergeCell ref="AA101:AI101"/>
    <mergeCell ref="C120:J120"/>
    <mergeCell ref="AA120:AI120"/>
    <mergeCell ref="AM120:AU120"/>
    <mergeCell ref="C121:L121"/>
    <mergeCell ref="AA121:AK121"/>
    <mergeCell ref="AM121:AW121"/>
    <mergeCell ref="E109:F109"/>
    <mergeCell ref="E110:F110"/>
    <mergeCell ref="E111:F111"/>
    <mergeCell ref="E112:F112"/>
    <mergeCell ref="E113:F113"/>
    <mergeCell ref="E114:F114"/>
    <mergeCell ref="E128:F128"/>
    <mergeCell ref="E129:F129"/>
    <mergeCell ref="E130:F130"/>
    <mergeCell ref="E131:F131"/>
    <mergeCell ref="E132:F132"/>
    <mergeCell ref="E133:F133"/>
    <mergeCell ref="E122:F122"/>
    <mergeCell ref="E123:F123"/>
    <mergeCell ref="E124:F124"/>
    <mergeCell ref="E125:F125"/>
    <mergeCell ref="E126:F126"/>
    <mergeCell ref="E127:F127"/>
    <mergeCell ref="E146:F146"/>
    <mergeCell ref="E140:F140"/>
    <mergeCell ref="E141:F141"/>
    <mergeCell ref="E142:F142"/>
    <mergeCell ref="E143:F143"/>
    <mergeCell ref="E144:F144"/>
    <mergeCell ref="E145:F145"/>
    <mergeCell ref="E134:F134"/>
    <mergeCell ref="E135:F135"/>
    <mergeCell ref="E136:F136"/>
    <mergeCell ref="E137:F137"/>
    <mergeCell ref="E138:F138"/>
    <mergeCell ref="E139:F139"/>
  </mergeCells>
  <pageMargins left="0.78740157480314965" right="0.59055118110236227" top="0.39370078740157483" bottom="0.39370078740157483" header="0.31496062992125984" footer="0.31496062992125984"/>
  <pageSetup paperSize="9" scale="72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S777"/>
  <sheetViews>
    <sheetView view="pageBreakPreview" topLeftCell="A5" zoomScale="70" zoomScaleNormal="80" zoomScaleSheetLayoutView="70" zoomScalePageLayoutView="85" workbookViewId="0">
      <pane xSplit="1" ySplit="6" topLeftCell="V87" activePane="bottomRight" state="frozen"/>
      <selection activeCell="L5" sqref="L5"/>
      <selection pane="topRight" activeCell="M5" sqref="M5"/>
      <selection pane="bottomLeft" activeCell="L11" sqref="L11"/>
      <selection pane="bottomRight" activeCell="AI95" sqref="AI95"/>
    </sheetView>
  </sheetViews>
  <sheetFormatPr defaultColWidth="8.85546875" defaultRowHeight="15" outlineLevelRow="2"/>
  <cols>
    <col min="1" max="1" width="4.42578125" style="329" customWidth="1"/>
    <col min="2" max="2" width="31.7109375" style="5" customWidth="1"/>
    <col min="3" max="3" width="13.85546875" style="5" customWidth="1"/>
    <col min="4" max="4" width="10.85546875" style="5" customWidth="1"/>
    <col min="5" max="5" width="14" style="5" customWidth="1"/>
    <col min="6" max="6" width="14.85546875" style="14" customWidth="1"/>
    <col min="7" max="7" width="16" style="5" customWidth="1"/>
    <col min="8" max="8" width="17.28515625" style="5" customWidth="1"/>
    <col min="9" max="9" width="12.140625" style="5" customWidth="1"/>
    <col min="10" max="10" width="19.7109375" style="5" bestFit="1" customWidth="1"/>
    <col min="11" max="11" width="20.140625" style="5" customWidth="1"/>
    <col min="12" max="12" width="2.7109375" style="23" customWidth="1"/>
    <col min="13" max="13" width="4.42578125" style="329" customWidth="1"/>
    <col min="14" max="14" width="31.7109375" style="5" customWidth="1"/>
    <col min="15" max="15" width="13.42578125" style="5" customWidth="1"/>
    <col min="16" max="16" width="10.85546875" style="5" customWidth="1"/>
    <col min="17" max="17" width="14" style="5" customWidth="1"/>
    <col min="18" max="18" width="14.85546875" style="14" customWidth="1"/>
    <col min="19" max="19" width="16" style="5" customWidth="1"/>
    <col min="20" max="20" width="17.28515625" style="5" customWidth="1"/>
    <col min="21" max="21" width="12.140625" style="5" customWidth="1"/>
    <col min="22" max="22" width="19.7109375" style="5" bestFit="1" customWidth="1"/>
    <col min="23" max="23" width="19.28515625" style="5" customWidth="1"/>
    <col min="24" max="24" width="5.85546875" style="329" bestFit="1" customWidth="1"/>
    <col min="25" max="25" width="32" style="5" customWidth="1"/>
    <col min="26" max="26" width="15.85546875" style="5" customWidth="1"/>
    <col min="27" max="27" width="8.7109375" style="5" customWidth="1"/>
    <col min="28" max="28" width="15.7109375" style="5" customWidth="1"/>
    <col min="29" max="29" width="14.28515625" style="5" customWidth="1"/>
    <col min="30" max="30" width="16.140625" style="5" customWidth="1"/>
    <col min="31" max="31" width="19.28515625" style="5" customWidth="1"/>
    <col min="32" max="32" width="13.7109375" style="5" customWidth="1"/>
    <col min="33" max="33" width="19.28515625" style="5" customWidth="1"/>
    <col min="34" max="34" width="20.5703125" style="5" customWidth="1"/>
    <col min="35" max="35" width="13.5703125" style="329" customWidth="1"/>
    <col min="36" max="36" width="21.7109375" style="50" customWidth="1"/>
    <col min="37" max="37" width="19.140625" style="5" customWidth="1"/>
    <col min="38" max="38" width="18.140625" style="50" customWidth="1"/>
    <col min="39" max="39" width="19.28515625" style="5" customWidth="1"/>
    <col min="40" max="40" width="20.28515625" style="5" customWidth="1"/>
    <col min="41" max="41" width="14.85546875" style="5" customWidth="1"/>
    <col min="42" max="42" width="17.5703125" style="5" customWidth="1"/>
    <col min="43" max="43" width="15.140625" style="5" customWidth="1"/>
    <col min="44" max="44" width="16.28515625" style="5" customWidth="1"/>
    <col min="45" max="45" width="13.7109375" style="5" customWidth="1"/>
    <col min="46" max="46" width="14.42578125" style="5" customWidth="1"/>
    <col min="47" max="63" width="8.85546875" style="5" customWidth="1"/>
    <col min="64" max="16384" width="8.85546875" style="5"/>
  </cols>
  <sheetData>
    <row r="1" spans="1:45" s="39" customFormat="1" hidden="1">
      <c r="L1" s="100"/>
      <c r="AJ1" s="423"/>
      <c r="AL1" s="423"/>
    </row>
    <row r="2" spans="1:45" s="39" customFormat="1" hidden="1">
      <c r="L2" s="100"/>
      <c r="AJ2" s="423"/>
      <c r="AL2" s="423"/>
    </row>
    <row r="3" spans="1:45" s="39" customFormat="1" hidden="1">
      <c r="L3" s="100"/>
      <c r="AJ3" s="423"/>
      <c r="AL3" s="423"/>
    </row>
    <row r="4" spans="1:45" s="39" customFormat="1" ht="19.5" hidden="1" customHeight="1">
      <c r="L4" s="100"/>
      <c r="AJ4" s="423"/>
      <c r="AL4" s="423"/>
    </row>
    <row r="5" spans="1:45" s="33" customFormat="1" ht="19.5" customHeight="1">
      <c r="B5" s="844" t="s">
        <v>365</v>
      </c>
      <c r="C5" s="844"/>
      <c r="D5" s="844"/>
      <c r="E5" s="844"/>
      <c r="F5" s="844"/>
      <c r="G5" s="844"/>
      <c r="H5" s="844"/>
      <c r="I5" s="844"/>
      <c r="J5" s="844"/>
      <c r="K5" s="844"/>
      <c r="L5" s="386"/>
      <c r="AJ5" s="424"/>
      <c r="AL5" s="424"/>
    </row>
    <row r="6" spans="1:45" s="33" customFormat="1" ht="19.5" customHeight="1">
      <c r="B6" s="33" t="s">
        <v>291</v>
      </c>
      <c r="L6" s="386"/>
      <c r="N6" s="33" t="s">
        <v>292</v>
      </c>
      <c r="Y6" s="33" t="s">
        <v>293</v>
      </c>
      <c r="AJ6" s="424"/>
      <c r="AL6" s="424"/>
    </row>
    <row r="7" spans="1:45" s="33" customFormat="1" ht="19.5" customHeight="1">
      <c r="B7" s="33" t="s">
        <v>300</v>
      </c>
      <c r="C7" s="33">
        <v>16</v>
      </c>
      <c r="L7" s="386"/>
      <c r="N7" s="33" t="s">
        <v>300</v>
      </c>
      <c r="O7" s="33">
        <v>4</v>
      </c>
      <c r="Y7" s="33" t="s">
        <v>300</v>
      </c>
      <c r="Z7" s="33">
        <v>4</v>
      </c>
      <c r="AJ7" s="424"/>
      <c r="AL7" s="424"/>
      <c r="AM7" s="386"/>
      <c r="AN7" s="386"/>
      <c r="AO7" s="386"/>
      <c r="AP7" s="386"/>
      <c r="AQ7" s="386"/>
      <c r="AR7" s="386"/>
      <c r="AS7" s="386"/>
    </row>
    <row r="8" spans="1:45">
      <c r="F8" s="14" t="s">
        <v>288</v>
      </c>
      <c r="R8" s="14" t="s">
        <v>289</v>
      </c>
      <c r="AC8" s="14" t="s">
        <v>360</v>
      </c>
      <c r="AM8" s="100"/>
      <c r="AN8" s="100"/>
      <c r="AO8" s="100"/>
      <c r="AP8" s="100"/>
      <c r="AQ8" s="100"/>
      <c r="AR8" s="100"/>
      <c r="AS8" s="100"/>
    </row>
    <row r="9" spans="1:45" ht="90" customHeight="1">
      <c r="A9" s="677" t="s">
        <v>1</v>
      </c>
      <c r="B9" s="677" t="s">
        <v>4</v>
      </c>
      <c r="C9" s="846" t="s">
        <v>100</v>
      </c>
      <c r="D9" s="847"/>
      <c r="E9" s="677" t="s">
        <v>57</v>
      </c>
      <c r="F9" s="677" t="s">
        <v>2</v>
      </c>
      <c r="G9" s="677" t="s">
        <v>78</v>
      </c>
      <c r="H9" s="677"/>
      <c r="I9" s="677" t="s">
        <v>99</v>
      </c>
      <c r="J9" s="677" t="s">
        <v>5</v>
      </c>
      <c r="K9" s="677" t="s">
        <v>0</v>
      </c>
      <c r="L9" s="334"/>
      <c r="M9" s="599" t="s">
        <v>1</v>
      </c>
      <c r="N9" s="599" t="s">
        <v>4</v>
      </c>
      <c r="O9" s="846" t="s">
        <v>100</v>
      </c>
      <c r="P9" s="847"/>
      <c r="Q9" s="599" t="s">
        <v>57</v>
      </c>
      <c r="R9" s="599" t="s">
        <v>2</v>
      </c>
      <c r="S9" s="599" t="s">
        <v>78</v>
      </c>
      <c r="T9" s="599"/>
      <c r="U9" s="599" t="s">
        <v>99</v>
      </c>
      <c r="V9" s="599" t="s">
        <v>5</v>
      </c>
      <c r="W9" s="599" t="s">
        <v>0</v>
      </c>
      <c r="X9" s="11" t="s">
        <v>1</v>
      </c>
      <c r="Y9" s="11" t="s">
        <v>4</v>
      </c>
      <c r="Z9" s="758" t="s">
        <v>100</v>
      </c>
      <c r="AA9" s="759"/>
      <c r="AB9" s="11" t="s">
        <v>57</v>
      </c>
      <c r="AC9" s="11" t="s">
        <v>2</v>
      </c>
      <c r="AD9" s="11" t="s">
        <v>78</v>
      </c>
      <c r="AE9" s="11"/>
      <c r="AF9" s="11" t="s">
        <v>99</v>
      </c>
      <c r="AG9" s="11" t="s">
        <v>5</v>
      </c>
      <c r="AH9" s="11" t="s">
        <v>0</v>
      </c>
      <c r="AI9" s="389"/>
      <c r="AJ9" s="449"/>
      <c r="AM9" s="100"/>
      <c r="AN9" s="387"/>
      <c r="AO9" s="387"/>
      <c r="AP9" s="387"/>
      <c r="AQ9" s="387"/>
      <c r="AR9" s="387"/>
      <c r="AS9" s="100"/>
    </row>
    <row r="10" spans="1:45" ht="15.75">
      <c r="A10" s="677">
        <v>1</v>
      </c>
      <c r="B10" s="677">
        <v>2</v>
      </c>
      <c r="C10" s="846"/>
      <c r="D10" s="847"/>
      <c r="E10" s="677">
        <v>3</v>
      </c>
      <c r="F10" s="677">
        <v>4</v>
      </c>
      <c r="G10" s="677" t="s">
        <v>77</v>
      </c>
      <c r="H10" s="677"/>
      <c r="I10" s="677">
        <v>6</v>
      </c>
      <c r="J10" s="677" t="s">
        <v>56</v>
      </c>
      <c r="K10" s="677">
        <v>8</v>
      </c>
      <c r="L10" s="334"/>
      <c r="M10" s="599">
        <v>1</v>
      </c>
      <c r="N10" s="599">
        <v>2</v>
      </c>
      <c r="O10" s="846"/>
      <c r="P10" s="847"/>
      <c r="Q10" s="599">
        <v>3</v>
      </c>
      <c r="R10" s="599">
        <v>4</v>
      </c>
      <c r="S10" s="599" t="s">
        <v>77</v>
      </c>
      <c r="T10" s="599"/>
      <c r="U10" s="599">
        <v>6</v>
      </c>
      <c r="V10" s="599" t="s">
        <v>56</v>
      </c>
      <c r="W10" s="599">
        <v>8</v>
      </c>
      <c r="X10" s="11">
        <v>1</v>
      </c>
      <c r="Y10" s="11">
        <v>2</v>
      </c>
      <c r="Z10" s="758"/>
      <c r="AA10" s="759"/>
      <c r="AB10" s="11">
        <v>3</v>
      </c>
      <c r="AC10" s="11">
        <v>4</v>
      </c>
      <c r="AD10" s="11" t="s">
        <v>77</v>
      </c>
      <c r="AE10" s="11"/>
      <c r="AF10" s="11">
        <v>6</v>
      </c>
      <c r="AG10" s="11" t="s">
        <v>56</v>
      </c>
      <c r="AH10" s="11">
        <v>8</v>
      </c>
      <c r="AI10" s="389"/>
      <c r="AJ10" s="449"/>
      <c r="AK10" s="390">
        <v>7564</v>
      </c>
      <c r="AL10" s="387">
        <v>7408</v>
      </c>
      <c r="AM10" s="100" t="s">
        <v>301</v>
      </c>
      <c r="AN10" s="100" t="s">
        <v>302</v>
      </c>
      <c r="AO10" s="100"/>
      <c r="AP10" s="100"/>
      <c r="AQ10" s="100"/>
    </row>
    <row r="11" spans="1:45" ht="14.25" customHeight="1">
      <c r="A11" s="840" t="s">
        <v>7</v>
      </c>
      <c r="B11" s="841"/>
      <c r="C11" s="841"/>
      <c r="D11" s="841"/>
      <c r="E11" s="841"/>
      <c r="F11" s="841"/>
      <c r="G11" s="841"/>
      <c r="H11" s="841"/>
      <c r="I11" s="841"/>
      <c r="J11" s="841"/>
      <c r="K11" s="842"/>
      <c r="L11" s="330"/>
      <c r="M11" s="840" t="s">
        <v>7</v>
      </c>
      <c r="N11" s="841"/>
      <c r="O11" s="841"/>
      <c r="P11" s="841"/>
      <c r="Q11" s="841"/>
      <c r="R11" s="841"/>
      <c r="S11" s="841"/>
      <c r="T11" s="841"/>
      <c r="U11" s="841"/>
      <c r="V11" s="841"/>
      <c r="W11" s="842"/>
      <c r="X11" s="845"/>
      <c r="Y11" s="845"/>
      <c r="Z11" s="845"/>
      <c r="AA11" s="845"/>
      <c r="AB11" s="845"/>
      <c r="AC11" s="845"/>
      <c r="AD11" s="845"/>
      <c r="AE11" s="845"/>
      <c r="AF11" s="845"/>
      <c r="AG11" s="845"/>
      <c r="AH11" s="845"/>
      <c r="AI11" s="330"/>
      <c r="AJ11" s="450"/>
      <c r="AL11" s="100"/>
      <c r="AM11" s="100" t="s">
        <v>323</v>
      </c>
      <c r="AN11" s="100"/>
      <c r="AO11" s="100"/>
      <c r="AP11" s="100"/>
      <c r="AQ11" s="100"/>
    </row>
    <row r="12" spans="1:45" s="404" customFormat="1" ht="15" customHeight="1" outlineLevel="1">
      <c r="A12" s="678">
        <f>M12</f>
        <v>1</v>
      </c>
      <c r="B12" s="679" t="str">
        <f>N12</f>
        <v>Учитель</v>
      </c>
      <c r="C12" s="848">
        <f>11.19/24*F12</f>
        <v>7.46</v>
      </c>
      <c r="D12" s="849"/>
      <c r="E12" s="680">
        <f t="shared" ref="E12:E13" si="0">C12*1972</f>
        <v>14711.12</v>
      </c>
      <c r="F12" s="681">
        <f>C7</f>
        <v>16</v>
      </c>
      <c r="G12" s="682">
        <f>E12/F12</f>
        <v>919.44500000000005</v>
      </c>
      <c r="H12" s="683"/>
      <c r="I12" s="684">
        <f>U12</f>
        <v>216.78068472466171</v>
      </c>
      <c r="J12" s="685">
        <f>IFERROR(G12*I12,0)</f>
        <v>199317.9166666666</v>
      </c>
      <c r="K12" s="889" t="s">
        <v>124</v>
      </c>
      <c r="L12" s="595"/>
      <c r="M12" s="600">
        <f>X12</f>
        <v>1</v>
      </c>
      <c r="N12" s="601" t="str">
        <f>Y12</f>
        <v>Учитель</v>
      </c>
      <c r="O12" s="848">
        <f>11.19/24*R12</f>
        <v>1.865</v>
      </c>
      <c r="P12" s="849"/>
      <c r="Q12" s="602">
        <f t="shared" ref="Q12:Q13" si="1">O12*1972</f>
        <v>3677.78</v>
      </c>
      <c r="R12" s="603">
        <f>O7</f>
        <v>4</v>
      </c>
      <c r="S12" s="604">
        <f>Q12/R12</f>
        <v>919.44500000000005</v>
      </c>
      <c r="T12" s="605"/>
      <c r="U12" s="606">
        <f>AF12</f>
        <v>216.78068472466171</v>
      </c>
      <c r="V12" s="607">
        <f>IFERROR(S12*U12,0)</f>
        <v>199317.9166666666</v>
      </c>
      <c r="W12" s="889" t="s">
        <v>124</v>
      </c>
      <c r="X12" s="402">
        <v>1</v>
      </c>
      <c r="Y12" s="408" t="s">
        <v>125</v>
      </c>
      <c r="Z12" s="843">
        <f>11.19/24*AC12</f>
        <v>1.865</v>
      </c>
      <c r="AA12" s="829"/>
      <c r="AB12" s="413">
        <f t="shared" ref="AB12:AB13" si="2">Z12*1972</f>
        <v>3677.78</v>
      </c>
      <c r="AC12" s="409">
        <f>Z7</f>
        <v>4</v>
      </c>
      <c r="AD12" s="407">
        <f>AB12/AC12</f>
        <v>919.44500000000005</v>
      </c>
      <c r="AE12" s="403"/>
      <c r="AF12" s="532">
        <f>(306171.91500256)/AM12*1.302/1972*12</f>
        <v>216.78068472466171</v>
      </c>
      <c r="AG12" s="406">
        <f>IFERROR(AD12*AF12,0)</f>
        <v>199317.9166666666</v>
      </c>
      <c r="AH12" s="889" t="s">
        <v>124</v>
      </c>
      <c r="AI12" s="578">
        <f>O12+C12+Z12</f>
        <v>11.19</v>
      </c>
      <c r="AJ12" s="451">
        <f>AG12*AC12+V12*R12+J12*F12</f>
        <v>4783629.9999999981</v>
      </c>
      <c r="AK12" s="410">
        <f>F12*J12+R12*V12+AC12*AG12</f>
        <v>4783629.9999999981</v>
      </c>
      <c r="AL12" s="411" t="str">
        <f>Y12</f>
        <v>Учитель</v>
      </c>
      <c r="AM12" s="411">
        <v>11.19</v>
      </c>
      <c r="AN12" s="412"/>
      <c r="AO12" s="412">
        <f>AJ12/AI12/12/1.302</f>
        <v>27361.207775027709</v>
      </c>
      <c r="AP12" s="411"/>
      <c r="AQ12" s="411"/>
    </row>
    <row r="13" spans="1:45" s="404" customFormat="1" outlineLevel="1">
      <c r="A13" s="678">
        <f t="shared" ref="A13" si="3">M13</f>
        <v>2</v>
      </c>
      <c r="B13" s="679" t="str">
        <f t="shared" ref="B13" si="4">N13</f>
        <v>Тьютор</v>
      </c>
      <c r="C13" s="850">
        <f>1.25/24*F13</f>
        <v>0.83333333333333337</v>
      </c>
      <c r="D13" s="849"/>
      <c r="E13" s="680">
        <f t="shared" si="0"/>
        <v>1643.3333333333335</v>
      </c>
      <c r="F13" s="681">
        <f>F12</f>
        <v>16</v>
      </c>
      <c r="G13" s="682">
        <f t="shared" ref="G13" si="5">E13/F13</f>
        <v>102.70833333333334</v>
      </c>
      <c r="H13" s="683"/>
      <c r="I13" s="684">
        <f t="shared" ref="I13" si="6">U13</f>
        <v>229.76470588235296</v>
      </c>
      <c r="J13" s="685">
        <f t="shared" ref="J13" si="7">IFERROR(G13*I13,0)</f>
        <v>23598.750000000004</v>
      </c>
      <c r="K13" s="890"/>
      <c r="L13" s="595"/>
      <c r="M13" s="600">
        <f t="shared" ref="M13" si="8">X13</f>
        <v>2</v>
      </c>
      <c r="N13" s="601" t="str">
        <f t="shared" ref="N13" si="9">Y13</f>
        <v>Тьютор</v>
      </c>
      <c r="O13" s="850">
        <f>1.25/24*R13</f>
        <v>0.20833333333333334</v>
      </c>
      <c r="P13" s="849"/>
      <c r="Q13" s="603">
        <f t="shared" si="1"/>
        <v>410.83333333333337</v>
      </c>
      <c r="R13" s="603">
        <f>R12</f>
        <v>4</v>
      </c>
      <c r="S13" s="604">
        <f t="shared" ref="S13" si="10">Q13/R13</f>
        <v>102.70833333333334</v>
      </c>
      <c r="T13" s="605"/>
      <c r="U13" s="606">
        <f t="shared" ref="U13" si="11">AF13</f>
        <v>229.76470588235296</v>
      </c>
      <c r="V13" s="607">
        <f t="shared" ref="V13" si="12">IFERROR(S13*U13,0)</f>
        <v>23598.750000000004</v>
      </c>
      <c r="W13" s="890"/>
      <c r="X13" s="402">
        <v>2</v>
      </c>
      <c r="Y13" s="408" t="s">
        <v>361</v>
      </c>
      <c r="Z13" s="828">
        <f>1.25/24*AC13</f>
        <v>0.20833333333333334</v>
      </c>
      <c r="AA13" s="829"/>
      <c r="AB13" s="413">
        <f t="shared" si="2"/>
        <v>410.83333333333337</v>
      </c>
      <c r="AC13" s="409">
        <f>AC12</f>
        <v>4</v>
      </c>
      <c r="AD13" s="407">
        <f>AB13/AC13</f>
        <v>102.70833333333334</v>
      </c>
      <c r="AE13" s="403"/>
      <c r="AF13" s="532">
        <f>(36250)/AM13*1.302/1972*12</f>
        <v>229.76470588235296</v>
      </c>
      <c r="AG13" s="406">
        <f t="shared" ref="AG13" si="13">IFERROR(AD13*AF13,0)</f>
        <v>23598.750000000004</v>
      </c>
      <c r="AH13" s="890"/>
      <c r="AI13" s="578">
        <f t="shared" ref="AI13" si="14">O13+C13+Z13</f>
        <v>1.25</v>
      </c>
      <c r="AJ13" s="451">
        <f t="shared" ref="AJ13" si="15">AG13*AC13+V13*R13+J13*F13</f>
        <v>566370.00000000012</v>
      </c>
      <c r="AK13" s="410">
        <f t="shared" ref="AK13" si="16">F13*J13+R13*V13+AC13*AG13</f>
        <v>566370.00000000012</v>
      </c>
      <c r="AL13" s="411" t="str">
        <f>Y13</f>
        <v>Тьютор</v>
      </c>
      <c r="AM13" s="411">
        <v>1.25</v>
      </c>
      <c r="AN13" s="411"/>
      <c r="AO13" s="412">
        <f>AJ13/AI13/12/1.302</f>
        <v>29000.000000000004</v>
      </c>
      <c r="AP13" s="411"/>
      <c r="AQ13" s="411"/>
    </row>
    <row r="14" spans="1:45" s="50" customFormat="1" outlineLevel="1">
      <c r="A14" s="837" t="s">
        <v>42</v>
      </c>
      <c r="B14" s="838"/>
      <c r="C14" s="838"/>
      <c r="D14" s="838"/>
      <c r="E14" s="838"/>
      <c r="F14" s="838"/>
      <c r="G14" s="838"/>
      <c r="H14" s="838"/>
      <c r="I14" s="839"/>
      <c r="J14" s="686">
        <f>SUM(J12:J13)</f>
        <v>222916.6666666666</v>
      </c>
      <c r="K14" s="891"/>
      <c r="L14" s="596"/>
      <c r="M14" s="904" t="s">
        <v>42</v>
      </c>
      <c r="N14" s="905"/>
      <c r="O14" s="905"/>
      <c r="P14" s="905"/>
      <c r="Q14" s="905"/>
      <c r="R14" s="905"/>
      <c r="S14" s="905"/>
      <c r="T14" s="905"/>
      <c r="U14" s="906"/>
      <c r="V14" s="608">
        <f>SUM(V12:V13)</f>
        <v>222916.6666666666</v>
      </c>
      <c r="W14" s="891"/>
      <c r="X14" s="830" t="s">
        <v>42</v>
      </c>
      <c r="Y14" s="830"/>
      <c r="Z14" s="830"/>
      <c r="AA14" s="830"/>
      <c r="AB14" s="830"/>
      <c r="AC14" s="830"/>
      <c r="AD14" s="830"/>
      <c r="AE14" s="830"/>
      <c r="AF14" s="830"/>
      <c r="AG14" s="444">
        <f>SUM(AG12:AG13)</f>
        <v>222916.6666666666</v>
      </c>
      <c r="AH14" s="891"/>
      <c r="AI14" s="445">
        <f>AG14*AC12+V14*R12+J14*F13</f>
        <v>5349999.9999999981</v>
      </c>
      <c r="AJ14" s="575">
        <f>SUM(AJ12:AJ13)</f>
        <v>5349999.9999999981</v>
      </c>
      <c r="AK14" s="426">
        <f>SUM(AK12:AK13)</f>
        <v>5349999.9999999981</v>
      </c>
      <c r="AL14" s="446"/>
      <c r="AM14" s="446"/>
      <c r="AN14" s="388"/>
      <c r="AO14" s="388"/>
      <c r="AP14" s="388"/>
    </row>
    <row r="15" spans="1:45" s="39" customFormat="1" outlineLevel="1">
      <c r="A15" s="903"/>
      <c r="B15" s="903"/>
      <c r="C15" s="903"/>
      <c r="D15" s="903"/>
      <c r="E15" s="903"/>
      <c r="F15" s="903"/>
      <c r="G15" s="903"/>
      <c r="H15" s="903"/>
      <c r="I15" s="903"/>
      <c r="J15" s="903"/>
      <c r="K15" s="903"/>
      <c r="L15" s="104"/>
      <c r="M15" s="892"/>
      <c r="N15" s="893"/>
      <c r="O15" s="893"/>
      <c r="P15" s="893"/>
      <c r="Q15" s="893"/>
      <c r="R15" s="893"/>
      <c r="S15" s="893"/>
      <c r="T15" s="893"/>
      <c r="U15" s="893"/>
      <c r="V15" s="893"/>
      <c r="W15" s="894"/>
      <c r="X15" s="831"/>
      <c r="Y15" s="831"/>
      <c r="Z15" s="831"/>
      <c r="AA15" s="831"/>
      <c r="AB15" s="831"/>
      <c r="AC15" s="831"/>
      <c r="AD15" s="831"/>
      <c r="AE15" s="831"/>
      <c r="AF15" s="831"/>
      <c r="AG15" s="831"/>
      <c r="AH15" s="831"/>
      <c r="AI15" s="331">
        <f>AI14-AJ14</f>
        <v>0</v>
      </c>
      <c r="AJ15" s="452"/>
      <c r="AK15" s="432">
        <f>AC145</f>
        <v>5350000</v>
      </c>
      <c r="AL15" s="586"/>
      <c r="AM15" s="418"/>
      <c r="AN15" s="100"/>
      <c r="AO15" s="100"/>
      <c r="AP15" s="100"/>
    </row>
    <row r="16" spans="1:45" s="13" customFormat="1" ht="58.5" customHeight="1">
      <c r="A16" s="687" t="s">
        <v>1</v>
      </c>
      <c r="B16" s="687" t="s">
        <v>3</v>
      </c>
      <c r="C16" s="851"/>
      <c r="D16" s="852"/>
      <c r="E16" s="687" t="s">
        <v>63</v>
      </c>
      <c r="F16" s="687" t="s">
        <v>2</v>
      </c>
      <c r="G16" s="677" t="s">
        <v>58</v>
      </c>
      <c r="H16" s="677" t="s">
        <v>73</v>
      </c>
      <c r="I16" s="677" t="s">
        <v>74</v>
      </c>
      <c r="J16" s="677" t="s">
        <v>5</v>
      </c>
      <c r="K16" s="677" t="s">
        <v>0</v>
      </c>
      <c r="L16" s="334"/>
      <c r="M16" s="609" t="s">
        <v>1</v>
      </c>
      <c r="N16" s="609" t="s">
        <v>3</v>
      </c>
      <c r="O16" s="851"/>
      <c r="P16" s="852"/>
      <c r="Q16" s="609" t="s">
        <v>63</v>
      </c>
      <c r="R16" s="609" t="s">
        <v>2</v>
      </c>
      <c r="S16" s="599" t="s">
        <v>58</v>
      </c>
      <c r="T16" s="599" t="s">
        <v>73</v>
      </c>
      <c r="U16" s="599" t="s">
        <v>74</v>
      </c>
      <c r="V16" s="599" t="s">
        <v>5</v>
      </c>
      <c r="W16" s="599" t="s">
        <v>0</v>
      </c>
      <c r="X16" s="12" t="s">
        <v>1</v>
      </c>
      <c r="Y16" s="12" t="s">
        <v>3</v>
      </c>
      <c r="Z16" s="775"/>
      <c r="AA16" s="776"/>
      <c r="AB16" s="12" t="s">
        <v>63</v>
      </c>
      <c r="AC16" s="12" t="s">
        <v>2</v>
      </c>
      <c r="AD16" s="11" t="s">
        <v>58</v>
      </c>
      <c r="AE16" s="11" t="s">
        <v>73</v>
      </c>
      <c r="AF16" s="11" t="s">
        <v>74</v>
      </c>
      <c r="AG16" s="11" t="s">
        <v>5</v>
      </c>
      <c r="AH16" s="11" t="s">
        <v>0</v>
      </c>
      <c r="AI16" s="447"/>
      <c r="AJ16" s="447"/>
      <c r="AK16" s="577">
        <f>AK15-AK14</f>
        <v>0</v>
      </c>
      <c r="AL16" s="49"/>
      <c r="AM16" s="49"/>
      <c r="AN16" s="49"/>
      <c r="AO16" s="49"/>
    </row>
    <row r="17" spans="1:43">
      <c r="A17" s="677">
        <v>1</v>
      </c>
      <c r="B17" s="677">
        <v>2</v>
      </c>
      <c r="C17" s="846"/>
      <c r="D17" s="847"/>
      <c r="E17" s="677">
        <v>3</v>
      </c>
      <c r="F17" s="677">
        <v>4</v>
      </c>
      <c r="G17" s="677" t="s">
        <v>77</v>
      </c>
      <c r="H17" s="677">
        <v>6</v>
      </c>
      <c r="I17" s="677">
        <v>7</v>
      </c>
      <c r="J17" s="677" t="s">
        <v>60</v>
      </c>
      <c r="K17" s="677">
        <v>9</v>
      </c>
      <c r="L17" s="334"/>
      <c r="M17" s="599">
        <v>1</v>
      </c>
      <c r="N17" s="599">
        <v>2</v>
      </c>
      <c r="O17" s="846"/>
      <c r="P17" s="847"/>
      <c r="Q17" s="599">
        <v>3</v>
      </c>
      <c r="R17" s="599">
        <v>4</v>
      </c>
      <c r="S17" s="599" t="s">
        <v>77</v>
      </c>
      <c r="T17" s="599">
        <v>6</v>
      </c>
      <c r="U17" s="599">
        <v>7</v>
      </c>
      <c r="V17" s="599" t="s">
        <v>60</v>
      </c>
      <c r="W17" s="599">
        <v>9</v>
      </c>
      <c r="X17" s="11">
        <v>1</v>
      </c>
      <c r="Y17" s="11">
        <v>2</v>
      </c>
      <c r="Z17" s="758"/>
      <c r="AA17" s="759"/>
      <c r="AB17" s="11">
        <v>3</v>
      </c>
      <c r="AC17" s="11">
        <v>4</v>
      </c>
      <c r="AD17" s="11" t="s">
        <v>77</v>
      </c>
      <c r="AE17" s="11">
        <v>6</v>
      </c>
      <c r="AF17" s="11">
        <v>7</v>
      </c>
      <c r="AG17" s="11" t="s">
        <v>60</v>
      </c>
      <c r="AH17" s="11">
        <v>9</v>
      </c>
      <c r="AI17" s="334"/>
      <c r="AJ17" s="447"/>
      <c r="AK17" s="331" t="s">
        <v>323</v>
      </c>
      <c r="AL17" s="417"/>
      <c r="AM17" s="50"/>
      <c r="AN17" s="50"/>
      <c r="AO17" s="50"/>
      <c r="AP17" s="50"/>
      <c r="AQ17" s="50"/>
    </row>
    <row r="18" spans="1:43">
      <c r="A18" s="840" t="s">
        <v>6</v>
      </c>
      <c r="B18" s="841"/>
      <c r="C18" s="841"/>
      <c r="D18" s="841"/>
      <c r="E18" s="841"/>
      <c r="F18" s="841"/>
      <c r="G18" s="841"/>
      <c r="H18" s="841"/>
      <c r="I18" s="841"/>
      <c r="J18" s="841"/>
      <c r="K18" s="842"/>
      <c r="L18" s="330"/>
      <c r="M18" s="840" t="s">
        <v>6</v>
      </c>
      <c r="N18" s="841"/>
      <c r="O18" s="841"/>
      <c r="P18" s="841"/>
      <c r="Q18" s="841"/>
      <c r="R18" s="841"/>
      <c r="S18" s="841"/>
      <c r="T18" s="841"/>
      <c r="U18" s="841"/>
      <c r="V18" s="841"/>
      <c r="W18" s="842"/>
      <c r="X18" s="767" t="s">
        <v>6</v>
      </c>
      <c r="Y18" s="832"/>
      <c r="Z18" s="767"/>
      <c r="AA18" s="767"/>
      <c r="AB18" s="767"/>
      <c r="AC18" s="767"/>
      <c r="AD18" s="767"/>
      <c r="AE18" s="767"/>
      <c r="AF18" s="767"/>
      <c r="AG18" s="832"/>
      <c r="AH18" s="767"/>
      <c r="AI18" s="330" t="s">
        <v>349</v>
      </c>
      <c r="AJ18" s="453"/>
      <c r="AK18" s="479" t="s">
        <v>333</v>
      </c>
      <c r="AL18" s="5"/>
    </row>
    <row r="19" spans="1:43" ht="15" customHeight="1" outlineLevel="2">
      <c r="A19" s="688">
        <f>M19</f>
        <v>1</v>
      </c>
      <c r="B19" s="689" t="str">
        <f>N19</f>
        <v>Классные журналы</v>
      </c>
      <c r="C19" s="855"/>
      <c r="D19" s="856"/>
      <c r="E19" s="690">
        <v>4</v>
      </c>
      <c r="F19" s="691">
        <f>C7</f>
        <v>16</v>
      </c>
      <c r="G19" s="692">
        <f>E19/F19</f>
        <v>0.25</v>
      </c>
      <c r="H19" s="693">
        <v>1</v>
      </c>
      <c r="I19" s="694">
        <f>U19</f>
        <v>300</v>
      </c>
      <c r="J19" s="695">
        <f t="shared" ref="J19:J44" si="17">IFERROR(G19*I19/H19,0)</f>
        <v>75</v>
      </c>
      <c r="K19" s="860" t="s">
        <v>59</v>
      </c>
      <c r="L19" s="21"/>
      <c r="M19" s="610">
        <f>X19</f>
        <v>1</v>
      </c>
      <c r="N19" s="611" t="str">
        <f>Y19</f>
        <v>Классные журналы</v>
      </c>
      <c r="O19" s="878"/>
      <c r="P19" s="879"/>
      <c r="Q19" s="612">
        <v>4</v>
      </c>
      <c r="R19" s="613">
        <f>R13</f>
        <v>4</v>
      </c>
      <c r="S19" s="614">
        <f>Q19/R19</f>
        <v>1</v>
      </c>
      <c r="T19" s="615">
        <v>1</v>
      </c>
      <c r="U19" s="616">
        <f>AF19</f>
        <v>300</v>
      </c>
      <c r="V19" s="617">
        <f t="shared" ref="V19:V44" si="18">IFERROR(S19*U19/T19,0)</f>
        <v>300</v>
      </c>
      <c r="W19" s="860" t="s">
        <v>59</v>
      </c>
      <c r="X19" s="10">
        <v>1</v>
      </c>
      <c r="Y19" s="358" t="s">
        <v>79</v>
      </c>
      <c r="Z19" s="826" t="s">
        <v>142</v>
      </c>
      <c r="AA19" s="827"/>
      <c r="AB19" s="372"/>
      <c r="AC19" s="374">
        <f>Z7</f>
        <v>4</v>
      </c>
      <c r="AD19" s="368">
        <f>AB19/AC19</f>
        <v>0</v>
      </c>
      <c r="AE19" s="344">
        <v>1</v>
      </c>
      <c r="AF19" s="533">
        <v>300</v>
      </c>
      <c r="AG19" s="361">
        <f>IFERROR(AD19*AF19/AE19,0)</f>
        <v>0</v>
      </c>
      <c r="AH19" s="777" t="s">
        <v>59</v>
      </c>
      <c r="AI19" s="578">
        <f>AB19+Q19+E19</f>
        <v>8</v>
      </c>
      <c r="AJ19" s="454">
        <f>AG19*AC19+V19*R19+J19*F19</f>
        <v>2400</v>
      </c>
      <c r="AK19" s="480">
        <f>AG19*AC19+V19*R19+J19*F19</f>
        <v>2400</v>
      </c>
      <c r="AL19" s="5"/>
    </row>
    <row r="20" spans="1:43" outlineLevel="2">
      <c r="A20" s="688">
        <f t="shared" ref="A20:A44" si="19">M20</f>
        <v>2</v>
      </c>
      <c r="B20" s="689" t="str">
        <f t="shared" ref="B20:B44" si="20">N20</f>
        <v>Бумага для офисной техники</v>
      </c>
      <c r="C20" s="855"/>
      <c r="D20" s="856"/>
      <c r="E20" s="690">
        <v>8</v>
      </c>
      <c r="F20" s="691">
        <f>F19</f>
        <v>16</v>
      </c>
      <c r="G20" s="692">
        <f t="shared" ref="G20:G33" si="21">E20/F20</f>
        <v>0.5</v>
      </c>
      <c r="H20" s="693">
        <v>1</v>
      </c>
      <c r="I20" s="694">
        <f t="shared" ref="I20:I44" si="22">U20</f>
        <v>310</v>
      </c>
      <c r="J20" s="695">
        <f t="shared" si="17"/>
        <v>155</v>
      </c>
      <c r="K20" s="778"/>
      <c r="L20" s="21"/>
      <c r="M20" s="610">
        <f t="shared" ref="M20:M44" si="23">X20</f>
        <v>2</v>
      </c>
      <c r="N20" s="611" t="str">
        <f t="shared" ref="N20:N44" si="24">Y20</f>
        <v>Бумага для офисной техники</v>
      </c>
      <c r="O20" s="878"/>
      <c r="P20" s="879"/>
      <c r="Q20" s="612">
        <v>6</v>
      </c>
      <c r="R20" s="613">
        <f>R19</f>
        <v>4</v>
      </c>
      <c r="S20" s="614">
        <f t="shared" ref="S20:S33" si="25">Q20/R20</f>
        <v>1.5</v>
      </c>
      <c r="T20" s="615">
        <v>1</v>
      </c>
      <c r="U20" s="616">
        <f t="shared" ref="U20:U44" si="26">AF20</f>
        <v>310</v>
      </c>
      <c r="V20" s="617">
        <f t="shared" si="18"/>
        <v>465</v>
      </c>
      <c r="W20" s="778"/>
      <c r="X20" s="10">
        <v>2</v>
      </c>
      <c r="Y20" s="358" t="s">
        <v>80</v>
      </c>
      <c r="Z20" s="826" t="s">
        <v>142</v>
      </c>
      <c r="AA20" s="827"/>
      <c r="AB20" s="373"/>
      <c r="AC20" s="374">
        <f>AC19</f>
        <v>4</v>
      </c>
      <c r="AD20" s="368">
        <f t="shared" ref="AD20:AD44" si="27">AB20/AC20</f>
        <v>0</v>
      </c>
      <c r="AE20" s="344">
        <v>1</v>
      </c>
      <c r="AF20" s="533">
        <v>310</v>
      </c>
      <c r="AG20" s="361">
        <f t="shared" ref="AG20:AG44" si="28">IFERROR(AD20*AF20/AE20,0)</f>
        <v>0</v>
      </c>
      <c r="AH20" s="778"/>
      <c r="AI20" s="578">
        <f t="shared" ref="AI20:AI44" si="29">AB20+Q20+E20</f>
        <v>14</v>
      </c>
      <c r="AJ20" s="454">
        <f t="shared" ref="AJ20:AJ44" si="30">AG20*AC20+V20*R20+J20*F20</f>
        <v>4340</v>
      </c>
      <c r="AK20" s="480">
        <f t="shared" ref="AK20:AK44" si="31">AG20*AC20+V20*R20+J20*F20</f>
        <v>4340</v>
      </c>
      <c r="AL20" s="5"/>
    </row>
    <row r="21" spans="1:43" outlineLevel="2">
      <c r="A21" s="688">
        <f t="shared" si="19"/>
        <v>3</v>
      </c>
      <c r="B21" s="689" t="str">
        <f t="shared" si="20"/>
        <v>Канцелярский набор</v>
      </c>
      <c r="C21" s="855"/>
      <c r="D21" s="856"/>
      <c r="E21" s="690">
        <v>4</v>
      </c>
      <c r="F21" s="691">
        <f t="shared" ref="F21:F44" si="32">F20</f>
        <v>16</v>
      </c>
      <c r="G21" s="692">
        <f t="shared" si="21"/>
        <v>0.25</v>
      </c>
      <c r="H21" s="693">
        <v>1</v>
      </c>
      <c r="I21" s="694">
        <f t="shared" si="22"/>
        <v>250</v>
      </c>
      <c r="J21" s="695">
        <f t="shared" si="17"/>
        <v>62.5</v>
      </c>
      <c r="K21" s="778"/>
      <c r="L21" s="21"/>
      <c r="M21" s="610">
        <f t="shared" si="23"/>
        <v>3</v>
      </c>
      <c r="N21" s="611" t="str">
        <f t="shared" si="24"/>
        <v>Канцелярский набор</v>
      </c>
      <c r="O21" s="878"/>
      <c r="P21" s="879"/>
      <c r="Q21" s="612">
        <v>2</v>
      </c>
      <c r="R21" s="613">
        <f t="shared" ref="R21:R44" si="33">R20</f>
        <v>4</v>
      </c>
      <c r="S21" s="614">
        <f t="shared" si="25"/>
        <v>0.5</v>
      </c>
      <c r="T21" s="615">
        <v>1</v>
      </c>
      <c r="U21" s="616">
        <f t="shared" si="26"/>
        <v>250</v>
      </c>
      <c r="V21" s="617">
        <f t="shared" si="18"/>
        <v>125</v>
      </c>
      <c r="W21" s="778"/>
      <c r="X21" s="10">
        <v>3</v>
      </c>
      <c r="Y21" s="358" t="s">
        <v>81</v>
      </c>
      <c r="Z21" s="826" t="s">
        <v>142</v>
      </c>
      <c r="AA21" s="827"/>
      <c r="AB21" s="373"/>
      <c r="AC21" s="374">
        <f t="shared" ref="AC21:AC44" si="34">AC20</f>
        <v>4</v>
      </c>
      <c r="AD21" s="368">
        <f t="shared" si="27"/>
        <v>0</v>
      </c>
      <c r="AE21" s="344">
        <v>1</v>
      </c>
      <c r="AF21" s="533">
        <v>250</v>
      </c>
      <c r="AG21" s="361">
        <f t="shared" si="28"/>
        <v>0</v>
      </c>
      <c r="AH21" s="778"/>
      <c r="AI21" s="578">
        <f t="shared" si="29"/>
        <v>6</v>
      </c>
      <c r="AJ21" s="454">
        <f t="shared" si="30"/>
        <v>1500</v>
      </c>
      <c r="AK21" s="480">
        <f t="shared" si="31"/>
        <v>1500</v>
      </c>
      <c r="AL21" s="5"/>
    </row>
    <row r="22" spans="1:43" outlineLevel="2">
      <c r="A22" s="688">
        <f t="shared" si="19"/>
        <v>4</v>
      </c>
      <c r="B22" s="689" t="str">
        <f t="shared" si="20"/>
        <v>Набор шариковых ручек</v>
      </c>
      <c r="C22" s="855"/>
      <c r="D22" s="856"/>
      <c r="E22" s="690">
        <v>12</v>
      </c>
      <c r="F22" s="691">
        <f t="shared" si="32"/>
        <v>16</v>
      </c>
      <c r="G22" s="692">
        <f t="shared" si="21"/>
        <v>0.75</v>
      </c>
      <c r="H22" s="693">
        <v>1</v>
      </c>
      <c r="I22" s="694">
        <f t="shared" si="22"/>
        <v>100</v>
      </c>
      <c r="J22" s="695">
        <f t="shared" si="17"/>
        <v>75</v>
      </c>
      <c r="K22" s="778"/>
      <c r="L22" s="21"/>
      <c r="M22" s="610">
        <f t="shared" si="23"/>
        <v>4</v>
      </c>
      <c r="N22" s="611" t="str">
        <f t="shared" si="24"/>
        <v>Набор шариковых ручек</v>
      </c>
      <c r="O22" s="878"/>
      <c r="P22" s="879"/>
      <c r="Q22" s="612">
        <v>10</v>
      </c>
      <c r="R22" s="613">
        <f t="shared" si="33"/>
        <v>4</v>
      </c>
      <c r="S22" s="614">
        <f t="shared" si="25"/>
        <v>2.5</v>
      </c>
      <c r="T22" s="615">
        <v>1</v>
      </c>
      <c r="U22" s="616">
        <f t="shared" si="26"/>
        <v>100</v>
      </c>
      <c r="V22" s="617">
        <f t="shared" si="18"/>
        <v>250</v>
      </c>
      <c r="W22" s="778"/>
      <c r="X22" s="10">
        <v>4</v>
      </c>
      <c r="Y22" s="358" t="s">
        <v>82</v>
      </c>
      <c r="Z22" s="826" t="s">
        <v>142</v>
      </c>
      <c r="AA22" s="827"/>
      <c r="AB22" s="373"/>
      <c r="AC22" s="374">
        <f t="shared" si="34"/>
        <v>4</v>
      </c>
      <c r="AD22" s="368">
        <f t="shared" si="27"/>
        <v>0</v>
      </c>
      <c r="AE22" s="344">
        <v>1</v>
      </c>
      <c r="AF22" s="533">
        <v>100</v>
      </c>
      <c r="AG22" s="361">
        <f t="shared" si="28"/>
        <v>0</v>
      </c>
      <c r="AH22" s="778"/>
      <c r="AI22" s="578">
        <f t="shared" si="29"/>
        <v>22</v>
      </c>
      <c r="AJ22" s="454">
        <f t="shared" si="30"/>
        <v>2200</v>
      </c>
      <c r="AK22" s="480">
        <f t="shared" si="31"/>
        <v>2200</v>
      </c>
      <c r="AL22" s="5"/>
    </row>
    <row r="23" spans="1:43" outlineLevel="2">
      <c r="A23" s="688">
        <f t="shared" si="19"/>
        <v>5</v>
      </c>
      <c r="B23" s="689" t="str">
        <f t="shared" si="20"/>
        <v>Набор гелевых ручек</v>
      </c>
      <c r="C23" s="855"/>
      <c r="D23" s="856"/>
      <c r="E23" s="690">
        <v>8</v>
      </c>
      <c r="F23" s="691">
        <f t="shared" si="32"/>
        <v>16</v>
      </c>
      <c r="G23" s="692">
        <f t="shared" si="21"/>
        <v>0.5</v>
      </c>
      <c r="H23" s="693">
        <v>1</v>
      </c>
      <c r="I23" s="694">
        <f t="shared" si="22"/>
        <v>120</v>
      </c>
      <c r="J23" s="695">
        <f t="shared" si="17"/>
        <v>60</v>
      </c>
      <c r="K23" s="778"/>
      <c r="L23" s="21"/>
      <c r="M23" s="610">
        <f t="shared" si="23"/>
        <v>5</v>
      </c>
      <c r="N23" s="611" t="str">
        <f t="shared" si="24"/>
        <v>Набор гелевых ручек</v>
      </c>
      <c r="O23" s="878"/>
      <c r="P23" s="879"/>
      <c r="Q23" s="612">
        <v>10</v>
      </c>
      <c r="R23" s="613">
        <f t="shared" si="33"/>
        <v>4</v>
      </c>
      <c r="S23" s="614">
        <f t="shared" si="25"/>
        <v>2.5</v>
      </c>
      <c r="T23" s="615">
        <v>1</v>
      </c>
      <c r="U23" s="616">
        <f t="shared" si="26"/>
        <v>120</v>
      </c>
      <c r="V23" s="617">
        <f t="shared" si="18"/>
        <v>300</v>
      </c>
      <c r="W23" s="778"/>
      <c r="X23" s="10">
        <v>5</v>
      </c>
      <c r="Y23" s="358" t="s">
        <v>83</v>
      </c>
      <c r="Z23" s="826" t="s">
        <v>142</v>
      </c>
      <c r="AA23" s="827"/>
      <c r="AB23" s="373"/>
      <c r="AC23" s="374">
        <f t="shared" si="34"/>
        <v>4</v>
      </c>
      <c r="AD23" s="368">
        <f t="shared" si="27"/>
        <v>0</v>
      </c>
      <c r="AE23" s="344">
        <v>1</v>
      </c>
      <c r="AF23" s="533">
        <v>120</v>
      </c>
      <c r="AG23" s="361">
        <f t="shared" si="28"/>
        <v>0</v>
      </c>
      <c r="AH23" s="778"/>
      <c r="AI23" s="578">
        <f t="shared" si="29"/>
        <v>18</v>
      </c>
      <c r="AJ23" s="454">
        <f t="shared" si="30"/>
        <v>2160</v>
      </c>
      <c r="AK23" s="480">
        <f t="shared" si="31"/>
        <v>2160</v>
      </c>
      <c r="AL23" s="5"/>
    </row>
    <row r="24" spans="1:43" outlineLevel="2">
      <c r="A24" s="688">
        <f t="shared" si="19"/>
        <v>6</v>
      </c>
      <c r="B24" s="689" t="str">
        <f t="shared" si="20"/>
        <v>Стержень для ручек</v>
      </c>
      <c r="C24" s="855"/>
      <c r="D24" s="856"/>
      <c r="E24" s="690">
        <v>20</v>
      </c>
      <c r="F24" s="691">
        <f t="shared" si="32"/>
        <v>16</v>
      </c>
      <c r="G24" s="692">
        <f t="shared" si="21"/>
        <v>1.25</v>
      </c>
      <c r="H24" s="693">
        <v>1</v>
      </c>
      <c r="I24" s="694">
        <f t="shared" si="22"/>
        <v>10</v>
      </c>
      <c r="J24" s="695">
        <f t="shared" si="17"/>
        <v>12.5</v>
      </c>
      <c r="K24" s="778"/>
      <c r="L24" s="21"/>
      <c r="M24" s="610">
        <f t="shared" si="23"/>
        <v>6</v>
      </c>
      <c r="N24" s="611" t="str">
        <f t="shared" si="24"/>
        <v>Стержень для ручек</v>
      </c>
      <c r="O24" s="878"/>
      <c r="P24" s="879"/>
      <c r="Q24" s="612">
        <v>8</v>
      </c>
      <c r="R24" s="613">
        <f t="shared" si="33"/>
        <v>4</v>
      </c>
      <c r="S24" s="614">
        <f t="shared" si="25"/>
        <v>2</v>
      </c>
      <c r="T24" s="615">
        <v>1</v>
      </c>
      <c r="U24" s="616">
        <f t="shared" si="26"/>
        <v>10</v>
      </c>
      <c r="V24" s="617">
        <f t="shared" si="18"/>
        <v>20</v>
      </c>
      <c r="W24" s="778"/>
      <c r="X24" s="10">
        <v>6</v>
      </c>
      <c r="Y24" s="358" t="s">
        <v>84</v>
      </c>
      <c r="Z24" s="826" t="s">
        <v>142</v>
      </c>
      <c r="AA24" s="827"/>
      <c r="AB24" s="373"/>
      <c r="AC24" s="374">
        <f t="shared" si="34"/>
        <v>4</v>
      </c>
      <c r="AD24" s="368">
        <f>AB24/AC24</f>
        <v>0</v>
      </c>
      <c r="AE24" s="344">
        <v>1</v>
      </c>
      <c r="AF24" s="533">
        <v>10</v>
      </c>
      <c r="AG24" s="361">
        <f t="shared" si="28"/>
        <v>0</v>
      </c>
      <c r="AH24" s="778"/>
      <c r="AI24" s="578">
        <f t="shared" si="29"/>
        <v>28</v>
      </c>
      <c r="AJ24" s="454">
        <f t="shared" si="30"/>
        <v>280</v>
      </c>
      <c r="AK24" s="480">
        <f t="shared" si="31"/>
        <v>280</v>
      </c>
      <c r="AL24" s="5"/>
    </row>
    <row r="25" spans="1:43" ht="30" customHeight="1" outlineLevel="2">
      <c r="A25" s="688">
        <f t="shared" si="19"/>
        <v>7</v>
      </c>
      <c r="B25" s="689" t="str">
        <f t="shared" si="20"/>
        <v>Набор  для маркерной доски (маркеры, губка, спрей, магниты)</v>
      </c>
      <c r="C25" s="855"/>
      <c r="D25" s="856"/>
      <c r="E25" s="690">
        <v>4</v>
      </c>
      <c r="F25" s="691">
        <f t="shared" si="32"/>
        <v>16</v>
      </c>
      <c r="G25" s="692">
        <f t="shared" si="21"/>
        <v>0.25</v>
      </c>
      <c r="H25" s="693">
        <v>1</v>
      </c>
      <c r="I25" s="694">
        <f t="shared" si="22"/>
        <v>600</v>
      </c>
      <c r="J25" s="695">
        <f t="shared" si="17"/>
        <v>150</v>
      </c>
      <c r="K25" s="778"/>
      <c r="L25" s="21"/>
      <c r="M25" s="610">
        <f t="shared" si="23"/>
        <v>7</v>
      </c>
      <c r="N25" s="611" t="str">
        <f t="shared" si="24"/>
        <v>Набор  для маркерной доски (маркеры, губка, спрей, магниты)</v>
      </c>
      <c r="O25" s="878"/>
      <c r="P25" s="879"/>
      <c r="Q25" s="612">
        <v>2</v>
      </c>
      <c r="R25" s="613">
        <f t="shared" si="33"/>
        <v>4</v>
      </c>
      <c r="S25" s="614">
        <f t="shared" si="25"/>
        <v>0.5</v>
      </c>
      <c r="T25" s="615">
        <v>1</v>
      </c>
      <c r="U25" s="616">
        <f t="shared" si="26"/>
        <v>600</v>
      </c>
      <c r="V25" s="617">
        <f t="shared" si="18"/>
        <v>300</v>
      </c>
      <c r="W25" s="778"/>
      <c r="X25" s="10">
        <v>7</v>
      </c>
      <c r="Y25" s="358" t="s">
        <v>127</v>
      </c>
      <c r="Z25" s="826" t="s">
        <v>142</v>
      </c>
      <c r="AA25" s="827"/>
      <c r="AB25" s="373"/>
      <c r="AC25" s="374">
        <f t="shared" si="34"/>
        <v>4</v>
      </c>
      <c r="AD25" s="368">
        <f t="shared" si="27"/>
        <v>0</v>
      </c>
      <c r="AE25" s="344">
        <v>1</v>
      </c>
      <c r="AF25" s="533">
        <v>600</v>
      </c>
      <c r="AG25" s="361">
        <f t="shared" si="28"/>
        <v>0</v>
      </c>
      <c r="AH25" s="778"/>
      <c r="AI25" s="578">
        <f t="shared" si="29"/>
        <v>6</v>
      </c>
      <c r="AJ25" s="454">
        <f t="shared" si="30"/>
        <v>3600</v>
      </c>
      <c r="AK25" s="480">
        <f t="shared" si="31"/>
        <v>3600</v>
      </c>
      <c r="AL25" s="5"/>
    </row>
    <row r="26" spans="1:43" outlineLevel="2">
      <c r="A26" s="688">
        <f t="shared" si="19"/>
        <v>8</v>
      </c>
      <c r="B26" s="689" t="str">
        <f t="shared" si="20"/>
        <v>Архивная папка</v>
      </c>
      <c r="C26" s="855"/>
      <c r="D26" s="856"/>
      <c r="E26" s="690">
        <v>12</v>
      </c>
      <c r="F26" s="691">
        <f t="shared" si="32"/>
        <v>16</v>
      </c>
      <c r="G26" s="692">
        <f t="shared" si="21"/>
        <v>0.75</v>
      </c>
      <c r="H26" s="693">
        <v>1</v>
      </c>
      <c r="I26" s="694">
        <f t="shared" si="22"/>
        <v>60</v>
      </c>
      <c r="J26" s="695">
        <f t="shared" si="17"/>
        <v>45</v>
      </c>
      <c r="K26" s="778"/>
      <c r="L26" s="21"/>
      <c r="M26" s="610">
        <f t="shared" si="23"/>
        <v>8</v>
      </c>
      <c r="N26" s="611" t="str">
        <f t="shared" si="24"/>
        <v>Архивная папка</v>
      </c>
      <c r="O26" s="878"/>
      <c r="P26" s="879"/>
      <c r="Q26" s="612">
        <v>20</v>
      </c>
      <c r="R26" s="613">
        <f t="shared" si="33"/>
        <v>4</v>
      </c>
      <c r="S26" s="614">
        <f t="shared" si="25"/>
        <v>5</v>
      </c>
      <c r="T26" s="615">
        <v>1</v>
      </c>
      <c r="U26" s="616">
        <f t="shared" si="26"/>
        <v>60</v>
      </c>
      <c r="V26" s="617">
        <f t="shared" si="18"/>
        <v>300</v>
      </c>
      <c r="W26" s="778"/>
      <c r="X26" s="10">
        <v>8</v>
      </c>
      <c r="Y26" s="358" t="s">
        <v>85</v>
      </c>
      <c r="Z26" s="826" t="s">
        <v>142</v>
      </c>
      <c r="AA26" s="827"/>
      <c r="AB26" s="373"/>
      <c r="AC26" s="374">
        <f t="shared" si="34"/>
        <v>4</v>
      </c>
      <c r="AD26" s="368">
        <f t="shared" si="27"/>
        <v>0</v>
      </c>
      <c r="AE26" s="344">
        <v>1</v>
      </c>
      <c r="AF26" s="533">
        <v>60</v>
      </c>
      <c r="AG26" s="361">
        <f t="shared" si="28"/>
        <v>0</v>
      </c>
      <c r="AH26" s="778"/>
      <c r="AI26" s="578">
        <f t="shared" si="29"/>
        <v>32</v>
      </c>
      <c r="AJ26" s="454">
        <f t="shared" si="30"/>
        <v>1920</v>
      </c>
      <c r="AK26" s="480">
        <f t="shared" si="31"/>
        <v>1920</v>
      </c>
      <c r="AL26" s="5"/>
    </row>
    <row r="27" spans="1:43" outlineLevel="2">
      <c r="A27" s="688">
        <f t="shared" si="19"/>
        <v>9</v>
      </c>
      <c r="B27" s="689" t="str">
        <f t="shared" si="20"/>
        <v>Пластиковая папка</v>
      </c>
      <c r="C27" s="855"/>
      <c r="D27" s="856"/>
      <c r="E27" s="690">
        <v>12</v>
      </c>
      <c r="F27" s="691">
        <f t="shared" si="32"/>
        <v>16</v>
      </c>
      <c r="G27" s="692">
        <f t="shared" si="21"/>
        <v>0.75</v>
      </c>
      <c r="H27" s="693">
        <v>1</v>
      </c>
      <c r="I27" s="694">
        <f t="shared" si="22"/>
        <v>100</v>
      </c>
      <c r="J27" s="695">
        <f t="shared" si="17"/>
        <v>75</v>
      </c>
      <c r="K27" s="778"/>
      <c r="L27" s="21"/>
      <c r="M27" s="610">
        <f t="shared" si="23"/>
        <v>9</v>
      </c>
      <c r="N27" s="611" t="str">
        <f t="shared" si="24"/>
        <v>Пластиковая папка</v>
      </c>
      <c r="O27" s="878"/>
      <c r="P27" s="879"/>
      <c r="Q27" s="612">
        <v>15</v>
      </c>
      <c r="R27" s="613">
        <f t="shared" si="33"/>
        <v>4</v>
      </c>
      <c r="S27" s="614">
        <f t="shared" si="25"/>
        <v>3.75</v>
      </c>
      <c r="T27" s="615">
        <v>1</v>
      </c>
      <c r="U27" s="616">
        <f t="shared" si="26"/>
        <v>100</v>
      </c>
      <c r="V27" s="617">
        <f t="shared" si="18"/>
        <v>375</v>
      </c>
      <c r="W27" s="778"/>
      <c r="X27" s="10">
        <v>9</v>
      </c>
      <c r="Y27" s="358" t="s">
        <v>88</v>
      </c>
      <c r="Z27" s="826" t="s">
        <v>142</v>
      </c>
      <c r="AA27" s="827"/>
      <c r="AB27" s="373"/>
      <c r="AC27" s="374">
        <f t="shared" si="34"/>
        <v>4</v>
      </c>
      <c r="AD27" s="368">
        <f t="shared" si="27"/>
        <v>0</v>
      </c>
      <c r="AE27" s="344">
        <v>1</v>
      </c>
      <c r="AF27" s="533">
        <v>100</v>
      </c>
      <c r="AG27" s="361">
        <f t="shared" si="28"/>
        <v>0</v>
      </c>
      <c r="AH27" s="778"/>
      <c r="AI27" s="578">
        <f t="shared" si="29"/>
        <v>27</v>
      </c>
      <c r="AJ27" s="454">
        <f t="shared" si="30"/>
        <v>2700</v>
      </c>
      <c r="AK27" s="480">
        <f t="shared" si="31"/>
        <v>2700</v>
      </c>
      <c r="AL27" s="5"/>
    </row>
    <row r="28" spans="1:43" outlineLevel="2">
      <c r="A28" s="688">
        <f t="shared" si="19"/>
        <v>10</v>
      </c>
      <c r="B28" s="689" t="str">
        <f t="shared" si="20"/>
        <v>Скотч</v>
      </c>
      <c r="C28" s="855"/>
      <c r="D28" s="856"/>
      <c r="E28" s="690">
        <v>16</v>
      </c>
      <c r="F28" s="691">
        <f t="shared" si="32"/>
        <v>16</v>
      </c>
      <c r="G28" s="692">
        <f t="shared" si="21"/>
        <v>1</v>
      </c>
      <c r="H28" s="693">
        <v>1</v>
      </c>
      <c r="I28" s="694">
        <f t="shared" si="22"/>
        <v>100</v>
      </c>
      <c r="J28" s="695">
        <f t="shared" si="17"/>
        <v>100</v>
      </c>
      <c r="K28" s="778"/>
      <c r="L28" s="21"/>
      <c r="M28" s="610">
        <f t="shared" si="23"/>
        <v>10</v>
      </c>
      <c r="N28" s="611" t="str">
        <f t="shared" si="24"/>
        <v>Скотч</v>
      </c>
      <c r="O28" s="878"/>
      <c r="P28" s="879"/>
      <c r="Q28" s="612">
        <v>15</v>
      </c>
      <c r="R28" s="613">
        <f t="shared" si="33"/>
        <v>4</v>
      </c>
      <c r="S28" s="614">
        <f t="shared" si="25"/>
        <v>3.75</v>
      </c>
      <c r="T28" s="615">
        <v>1</v>
      </c>
      <c r="U28" s="616">
        <f t="shared" si="26"/>
        <v>100</v>
      </c>
      <c r="V28" s="617">
        <f t="shared" si="18"/>
        <v>375</v>
      </c>
      <c r="W28" s="778"/>
      <c r="X28" s="10">
        <v>10</v>
      </c>
      <c r="Y28" s="358" t="s">
        <v>86</v>
      </c>
      <c r="Z28" s="826" t="s">
        <v>142</v>
      </c>
      <c r="AA28" s="827"/>
      <c r="AB28" s="373"/>
      <c r="AC28" s="374">
        <f t="shared" si="34"/>
        <v>4</v>
      </c>
      <c r="AD28" s="368">
        <f t="shared" si="27"/>
        <v>0</v>
      </c>
      <c r="AE28" s="344">
        <v>1</v>
      </c>
      <c r="AF28" s="533">
        <v>100</v>
      </c>
      <c r="AG28" s="361">
        <f t="shared" si="28"/>
        <v>0</v>
      </c>
      <c r="AH28" s="778"/>
      <c r="AI28" s="578">
        <f t="shared" si="29"/>
        <v>31</v>
      </c>
      <c r="AJ28" s="454">
        <f t="shared" si="30"/>
        <v>3100</v>
      </c>
      <c r="AK28" s="480">
        <f t="shared" si="31"/>
        <v>3100</v>
      </c>
      <c r="AL28" s="5"/>
    </row>
    <row r="29" spans="1:43" outlineLevel="2">
      <c r="A29" s="688">
        <f t="shared" si="19"/>
        <v>11</v>
      </c>
      <c r="B29" s="689" t="str">
        <f t="shared" si="20"/>
        <v>Ножницы</v>
      </c>
      <c r="C29" s="855"/>
      <c r="D29" s="856"/>
      <c r="E29" s="690">
        <v>4</v>
      </c>
      <c r="F29" s="691">
        <f t="shared" si="32"/>
        <v>16</v>
      </c>
      <c r="G29" s="692">
        <f t="shared" si="21"/>
        <v>0.25</v>
      </c>
      <c r="H29" s="693">
        <v>1</v>
      </c>
      <c r="I29" s="694">
        <f t="shared" si="22"/>
        <v>100</v>
      </c>
      <c r="J29" s="695">
        <f t="shared" si="17"/>
        <v>25</v>
      </c>
      <c r="K29" s="778"/>
      <c r="L29" s="21"/>
      <c r="M29" s="610">
        <f t="shared" si="23"/>
        <v>11</v>
      </c>
      <c r="N29" s="611" t="str">
        <f t="shared" si="24"/>
        <v>Ножницы</v>
      </c>
      <c r="O29" s="878"/>
      <c r="P29" s="879"/>
      <c r="Q29" s="612">
        <v>5</v>
      </c>
      <c r="R29" s="613">
        <f t="shared" si="33"/>
        <v>4</v>
      </c>
      <c r="S29" s="614">
        <f t="shared" si="25"/>
        <v>1.25</v>
      </c>
      <c r="T29" s="615">
        <v>1</v>
      </c>
      <c r="U29" s="616">
        <f t="shared" si="26"/>
        <v>100</v>
      </c>
      <c r="V29" s="617">
        <f t="shared" si="18"/>
        <v>125</v>
      </c>
      <c r="W29" s="778"/>
      <c r="X29" s="10">
        <v>11</v>
      </c>
      <c r="Y29" s="358" t="s">
        <v>87</v>
      </c>
      <c r="Z29" s="826" t="s">
        <v>142</v>
      </c>
      <c r="AA29" s="827"/>
      <c r="AB29" s="373"/>
      <c r="AC29" s="374">
        <f t="shared" si="34"/>
        <v>4</v>
      </c>
      <c r="AD29" s="368">
        <f t="shared" si="27"/>
        <v>0</v>
      </c>
      <c r="AE29" s="344">
        <v>1</v>
      </c>
      <c r="AF29" s="533">
        <v>100</v>
      </c>
      <c r="AG29" s="361">
        <f t="shared" si="28"/>
        <v>0</v>
      </c>
      <c r="AH29" s="778"/>
      <c r="AI29" s="578">
        <f t="shared" si="29"/>
        <v>9</v>
      </c>
      <c r="AJ29" s="454">
        <f t="shared" si="30"/>
        <v>900</v>
      </c>
      <c r="AK29" s="480">
        <f t="shared" si="31"/>
        <v>900</v>
      </c>
      <c r="AL29" s="5"/>
    </row>
    <row r="30" spans="1:43" outlineLevel="2">
      <c r="A30" s="688">
        <f t="shared" si="19"/>
        <v>12</v>
      </c>
      <c r="B30" s="689" t="str">
        <f t="shared" si="20"/>
        <v>Набор фломастеров</v>
      </c>
      <c r="C30" s="855"/>
      <c r="D30" s="856"/>
      <c r="E30" s="690">
        <v>12</v>
      </c>
      <c r="F30" s="691">
        <f t="shared" si="32"/>
        <v>16</v>
      </c>
      <c r="G30" s="692">
        <f t="shared" si="21"/>
        <v>0.75</v>
      </c>
      <c r="H30" s="693">
        <v>1</v>
      </c>
      <c r="I30" s="694">
        <f t="shared" si="22"/>
        <v>100</v>
      </c>
      <c r="J30" s="695">
        <f t="shared" si="17"/>
        <v>75</v>
      </c>
      <c r="K30" s="778"/>
      <c r="L30" s="21"/>
      <c r="M30" s="610">
        <f t="shared" si="23"/>
        <v>12</v>
      </c>
      <c r="N30" s="611" t="str">
        <f t="shared" si="24"/>
        <v>Набор фломастеров</v>
      </c>
      <c r="O30" s="878"/>
      <c r="P30" s="879"/>
      <c r="Q30" s="612">
        <v>15</v>
      </c>
      <c r="R30" s="613">
        <f t="shared" si="33"/>
        <v>4</v>
      </c>
      <c r="S30" s="614">
        <f t="shared" si="25"/>
        <v>3.75</v>
      </c>
      <c r="T30" s="615">
        <v>1</v>
      </c>
      <c r="U30" s="616">
        <f t="shared" si="26"/>
        <v>100</v>
      </c>
      <c r="V30" s="617">
        <f t="shared" si="18"/>
        <v>375</v>
      </c>
      <c r="W30" s="778"/>
      <c r="X30" s="10">
        <v>12</v>
      </c>
      <c r="Y30" s="358" t="s">
        <v>89</v>
      </c>
      <c r="Z30" s="826" t="s">
        <v>147</v>
      </c>
      <c r="AA30" s="827"/>
      <c r="AB30" s="373"/>
      <c r="AC30" s="374">
        <f t="shared" si="34"/>
        <v>4</v>
      </c>
      <c r="AD30" s="368">
        <f t="shared" si="27"/>
        <v>0</v>
      </c>
      <c r="AE30" s="344">
        <v>1</v>
      </c>
      <c r="AF30" s="533">
        <v>100</v>
      </c>
      <c r="AG30" s="361">
        <f t="shared" si="28"/>
        <v>0</v>
      </c>
      <c r="AH30" s="778"/>
      <c r="AI30" s="578">
        <f t="shared" si="29"/>
        <v>27</v>
      </c>
      <c r="AJ30" s="454">
        <f t="shared" si="30"/>
        <v>2700</v>
      </c>
      <c r="AK30" s="480">
        <f t="shared" si="31"/>
        <v>2700</v>
      </c>
      <c r="AL30" s="5"/>
    </row>
    <row r="31" spans="1:43" outlineLevel="2">
      <c r="A31" s="688">
        <f t="shared" si="19"/>
        <v>13</v>
      </c>
      <c r="B31" s="689" t="str">
        <f t="shared" si="20"/>
        <v>Набор файлов</v>
      </c>
      <c r="C31" s="855"/>
      <c r="D31" s="856"/>
      <c r="E31" s="690">
        <v>8</v>
      </c>
      <c r="F31" s="691">
        <f t="shared" si="32"/>
        <v>16</v>
      </c>
      <c r="G31" s="692">
        <f t="shared" si="21"/>
        <v>0.5</v>
      </c>
      <c r="H31" s="693">
        <v>1</v>
      </c>
      <c r="I31" s="694">
        <f t="shared" si="22"/>
        <v>100</v>
      </c>
      <c r="J31" s="695">
        <f t="shared" si="17"/>
        <v>50</v>
      </c>
      <c r="K31" s="778"/>
      <c r="L31" s="21"/>
      <c r="M31" s="610">
        <f t="shared" si="23"/>
        <v>13</v>
      </c>
      <c r="N31" s="611" t="str">
        <f t="shared" si="24"/>
        <v>Набор файлов</v>
      </c>
      <c r="O31" s="878"/>
      <c r="P31" s="879"/>
      <c r="Q31" s="612">
        <v>15</v>
      </c>
      <c r="R31" s="613">
        <f t="shared" si="33"/>
        <v>4</v>
      </c>
      <c r="S31" s="614">
        <f t="shared" si="25"/>
        <v>3.75</v>
      </c>
      <c r="T31" s="615">
        <v>1</v>
      </c>
      <c r="U31" s="616">
        <f t="shared" si="26"/>
        <v>100</v>
      </c>
      <c r="V31" s="617">
        <f t="shared" si="18"/>
        <v>375</v>
      </c>
      <c r="W31" s="778"/>
      <c r="X31" s="10">
        <v>13</v>
      </c>
      <c r="Y31" s="358" t="s">
        <v>128</v>
      </c>
      <c r="Z31" s="826" t="s">
        <v>147</v>
      </c>
      <c r="AA31" s="827"/>
      <c r="AB31" s="373"/>
      <c r="AC31" s="374">
        <f t="shared" si="34"/>
        <v>4</v>
      </c>
      <c r="AD31" s="368">
        <f t="shared" si="27"/>
        <v>0</v>
      </c>
      <c r="AE31" s="344">
        <v>1</v>
      </c>
      <c r="AF31" s="533">
        <v>100</v>
      </c>
      <c r="AG31" s="361">
        <f t="shared" si="28"/>
        <v>0</v>
      </c>
      <c r="AH31" s="778"/>
      <c r="AI31" s="578">
        <f t="shared" si="29"/>
        <v>23</v>
      </c>
      <c r="AJ31" s="454">
        <f t="shared" si="30"/>
        <v>2300</v>
      </c>
      <c r="AK31" s="480">
        <f t="shared" si="31"/>
        <v>2300</v>
      </c>
      <c r="AL31" s="5"/>
    </row>
    <row r="32" spans="1:43" outlineLevel="2">
      <c r="A32" s="688">
        <f t="shared" si="19"/>
        <v>14</v>
      </c>
      <c r="B32" s="689" t="str">
        <f t="shared" si="20"/>
        <v>Клей канцелярский</v>
      </c>
      <c r="C32" s="855"/>
      <c r="D32" s="856"/>
      <c r="E32" s="690">
        <v>16</v>
      </c>
      <c r="F32" s="691">
        <f t="shared" si="32"/>
        <v>16</v>
      </c>
      <c r="G32" s="692">
        <f t="shared" si="21"/>
        <v>1</v>
      </c>
      <c r="H32" s="693">
        <v>1</v>
      </c>
      <c r="I32" s="694">
        <f t="shared" si="22"/>
        <v>100</v>
      </c>
      <c r="J32" s="695">
        <f t="shared" si="17"/>
        <v>100</v>
      </c>
      <c r="K32" s="778"/>
      <c r="L32" s="21"/>
      <c r="M32" s="610">
        <f t="shared" si="23"/>
        <v>14</v>
      </c>
      <c r="N32" s="611" t="str">
        <f t="shared" si="24"/>
        <v>Клей канцелярский</v>
      </c>
      <c r="O32" s="878"/>
      <c r="P32" s="879"/>
      <c r="Q32" s="612">
        <v>19</v>
      </c>
      <c r="R32" s="613">
        <f t="shared" si="33"/>
        <v>4</v>
      </c>
      <c r="S32" s="614">
        <f t="shared" si="25"/>
        <v>4.75</v>
      </c>
      <c r="T32" s="615">
        <v>1</v>
      </c>
      <c r="U32" s="616">
        <f t="shared" si="26"/>
        <v>100</v>
      </c>
      <c r="V32" s="617">
        <f t="shared" si="18"/>
        <v>475</v>
      </c>
      <c r="W32" s="778"/>
      <c r="X32" s="10">
        <v>14</v>
      </c>
      <c r="Y32" s="358" t="s">
        <v>90</v>
      </c>
      <c r="Z32" s="826" t="s">
        <v>142</v>
      </c>
      <c r="AA32" s="827"/>
      <c r="AB32" s="373"/>
      <c r="AC32" s="374">
        <f t="shared" si="34"/>
        <v>4</v>
      </c>
      <c r="AD32" s="368">
        <f t="shared" si="27"/>
        <v>0</v>
      </c>
      <c r="AE32" s="344">
        <v>1</v>
      </c>
      <c r="AF32" s="533">
        <v>100</v>
      </c>
      <c r="AG32" s="361">
        <f t="shared" si="28"/>
        <v>0</v>
      </c>
      <c r="AH32" s="778"/>
      <c r="AI32" s="578">
        <f t="shared" si="29"/>
        <v>35</v>
      </c>
      <c r="AJ32" s="454">
        <f t="shared" si="30"/>
        <v>3500</v>
      </c>
      <c r="AK32" s="480">
        <f t="shared" si="31"/>
        <v>3500</v>
      </c>
      <c r="AL32" s="5"/>
    </row>
    <row r="33" spans="1:41" ht="17.25" customHeight="1" outlineLevel="2">
      <c r="A33" s="688">
        <f t="shared" si="19"/>
        <v>15</v>
      </c>
      <c r="B33" s="689" t="str">
        <f t="shared" si="20"/>
        <v>Материалы для занятий</v>
      </c>
      <c r="C33" s="855"/>
      <c r="D33" s="856"/>
      <c r="E33" s="690">
        <v>12</v>
      </c>
      <c r="F33" s="691">
        <f t="shared" si="32"/>
        <v>16</v>
      </c>
      <c r="G33" s="692">
        <f t="shared" si="21"/>
        <v>0.75</v>
      </c>
      <c r="H33" s="693">
        <v>1</v>
      </c>
      <c r="I33" s="694">
        <f t="shared" si="22"/>
        <v>800</v>
      </c>
      <c r="J33" s="695">
        <f t="shared" si="17"/>
        <v>600</v>
      </c>
      <c r="K33" s="778"/>
      <c r="L33" s="21"/>
      <c r="M33" s="610">
        <f t="shared" si="23"/>
        <v>15</v>
      </c>
      <c r="N33" s="611" t="str">
        <f t="shared" si="24"/>
        <v>Материалы для занятий</v>
      </c>
      <c r="O33" s="878"/>
      <c r="P33" s="879"/>
      <c r="Q33" s="612">
        <v>16</v>
      </c>
      <c r="R33" s="613">
        <f t="shared" si="33"/>
        <v>4</v>
      </c>
      <c r="S33" s="614">
        <f t="shared" si="25"/>
        <v>4</v>
      </c>
      <c r="T33" s="615">
        <v>1</v>
      </c>
      <c r="U33" s="616">
        <f t="shared" si="26"/>
        <v>800</v>
      </c>
      <c r="V33" s="617">
        <f t="shared" si="18"/>
        <v>3200</v>
      </c>
      <c r="W33" s="778"/>
      <c r="X33" s="10">
        <v>15</v>
      </c>
      <c r="Y33" s="358" t="s">
        <v>134</v>
      </c>
      <c r="Z33" s="826" t="s">
        <v>142</v>
      </c>
      <c r="AA33" s="827"/>
      <c r="AB33" s="373"/>
      <c r="AC33" s="374">
        <f t="shared" si="34"/>
        <v>4</v>
      </c>
      <c r="AD33" s="368">
        <f t="shared" si="27"/>
        <v>0</v>
      </c>
      <c r="AE33" s="344">
        <v>1</v>
      </c>
      <c r="AF33" s="533">
        <v>800</v>
      </c>
      <c r="AG33" s="361">
        <f t="shared" si="28"/>
        <v>0</v>
      </c>
      <c r="AH33" s="778"/>
      <c r="AI33" s="578">
        <f t="shared" si="29"/>
        <v>28</v>
      </c>
      <c r="AJ33" s="454">
        <f t="shared" si="30"/>
        <v>22400</v>
      </c>
      <c r="AK33" s="480">
        <f t="shared" si="31"/>
        <v>22400</v>
      </c>
      <c r="AL33" s="5"/>
    </row>
    <row r="34" spans="1:41" outlineLevel="2">
      <c r="A34" s="688">
        <f t="shared" si="19"/>
        <v>16</v>
      </c>
      <c r="B34" s="689" t="str">
        <f t="shared" si="20"/>
        <v>картридж</v>
      </c>
      <c r="C34" s="855"/>
      <c r="D34" s="856"/>
      <c r="E34" s="690">
        <v>2</v>
      </c>
      <c r="F34" s="691">
        <f t="shared" si="32"/>
        <v>16</v>
      </c>
      <c r="G34" s="692">
        <f>E34/F34</f>
        <v>0.125</v>
      </c>
      <c r="H34" s="693">
        <v>1</v>
      </c>
      <c r="I34" s="694">
        <f t="shared" si="22"/>
        <v>900</v>
      </c>
      <c r="J34" s="695">
        <f t="shared" si="17"/>
        <v>112.5</v>
      </c>
      <c r="K34" s="778"/>
      <c r="L34" s="21"/>
      <c r="M34" s="610">
        <f t="shared" si="23"/>
        <v>16</v>
      </c>
      <c r="N34" s="611" t="str">
        <f t="shared" si="24"/>
        <v>картридж</v>
      </c>
      <c r="O34" s="878"/>
      <c r="P34" s="879"/>
      <c r="Q34" s="612">
        <v>12</v>
      </c>
      <c r="R34" s="613">
        <f t="shared" si="33"/>
        <v>4</v>
      </c>
      <c r="S34" s="614">
        <f>Q34/R34</f>
        <v>3</v>
      </c>
      <c r="T34" s="615">
        <v>1</v>
      </c>
      <c r="U34" s="616">
        <f t="shared" si="26"/>
        <v>900</v>
      </c>
      <c r="V34" s="617">
        <f t="shared" si="18"/>
        <v>2700</v>
      </c>
      <c r="W34" s="778"/>
      <c r="X34" s="10">
        <v>16</v>
      </c>
      <c r="Y34" s="358" t="s">
        <v>91</v>
      </c>
      <c r="Z34" s="826" t="s">
        <v>142</v>
      </c>
      <c r="AA34" s="827"/>
      <c r="AB34" s="373"/>
      <c r="AC34" s="374">
        <f t="shared" si="34"/>
        <v>4</v>
      </c>
      <c r="AD34" s="368">
        <f t="shared" si="27"/>
        <v>0</v>
      </c>
      <c r="AE34" s="344">
        <v>1</v>
      </c>
      <c r="AF34" s="533">
        <v>900</v>
      </c>
      <c r="AG34" s="361">
        <f t="shared" si="28"/>
        <v>0</v>
      </c>
      <c r="AH34" s="778"/>
      <c r="AI34" s="578">
        <f t="shared" si="29"/>
        <v>14</v>
      </c>
      <c r="AJ34" s="454">
        <f t="shared" si="30"/>
        <v>12600</v>
      </c>
      <c r="AK34" s="480">
        <f t="shared" si="31"/>
        <v>12600</v>
      </c>
      <c r="AL34" s="5"/>
    </row>
    <row r="35" spans="1:41" outlineLevel="2">
      <c r="A35" s="688">
        <f t="shared" si="19"/>
        <v>17</v>
      </c>
      <c r="B35" s="689" t="str">
        <f t="shared" si="20"/>
        <v>тонер</v>
      </c>
      <c r="C35" s="855"/>
      <c r="D35" s="856"/>
      <c r="E35" s="690">
        <v>3</v>
      </c>
      <c r="F35" s="691">
        <f t="shared" si="32"/>
        <v>16</v>
      </c>
      <c r="G35" s="692">
        <f t="shared" ref="G35:G44" si="35">E35/F35</f>
        <v>0.1875</v>
      </c>
      <c r="H35" s="693">
        <v>1</v>
      </c>
      <c r="I35" s="694">
        <f t="shared" si="22"/>
        <v>300</v>
      </c>
      <c r="J35" s="695">
        <f t="shared" si="17"/>
        <v>56.25</v>
      </c>
      <c r="K35" s="778"/>
      <c r="L35" s="21"/>
      <c r="M35" s="610">
        <f t="shared" si="23"/>
        <v>17</v>
      </c>
      <c r="N35" s="611" t="str">
        <f t="shared" si="24"/>
        <v>тонер</v>
      </c>
      <c r="O35" s="878"/>
      <c r="P35" s="879"/>
      <c r="Q35" s="612">
        <v>10</v>
      </c>
      <c r="R35" s="613">
        <f t="shared" si="33"/>
        <v>4</v>
      </c>
      <c r="S35" s="614">
        <f t="shared" ref="S35:S44" si="36">Q35/R35</f>
        <v>2.5</v>
      </c>
      <c r="T35" s="615">
        <v>1</v>
      </c>
      <c r="U35" s="616">
        <f t="shared" si="26"/>
        <v>300</v>
      </c>
      <c r="V35" s="617">
        <f t="shared" si="18"/>
        <v>750</v>
      </c>
      <c r="W35" s="778"/>
      <c r="X35" s="10">
        <v>17</v>
      </c>
      <c r="Y35" s="358" t="s">
        <v>92</v>
      </c>
      <c r="Z35" s="826" t="s">
        <v>142</v>
      </c>
      <c r="AA35" s="827"/>
      <c r="AB35" s="373"/>
      <c r="AC35" s="374">
        <f t="shared" si="34"/>
        <v>4</v>
      </c>
      <c r="AD35" s="368">
        <f t="shared" si="27"/>
        <v>0</v>
      </c>
      <c r="AE35" s="344">
        <v>1</v>
      </c>
      <c r="AF35" s="533">
        <v>300</v>
      </c>
      <c r="AG35" s="361">
        <f t="shared" si="28"/>
        <v>0</v>
      </c>
      <c r="AH35" s="778"/>
      <c r="AI35" s="578">
        <f t="shared" si="29"/>
        <v>13</v>
      </c>
      <c r="AJ35" s="454">
        <f t="shared" si="30"/>
        <v>3900</v>
      </c>
      <c r="AK35" s="480">
        <f t="shared" si="31"/>
        <v>3900</v>
      </c>
      <c r="AL35" s="5"/>
    </row>
    <row r="36" spans="1:41" s="404" customFormat="1" ht="17.25" customHeight="1" outlineLevel="2">
      <c r="A36" s="730">
        <f t="shared" si="19"/>
        <v>18</v>
      </c>
      <c r="B36" s="679" t="str">
        <f t="shared" si="20"/>
        <v>Материалы для уроков ОБЖ</v>
      </c>
      <c r="C36" s="853"/>
      <c r="D36" s="854"/>
      <c r="E36" s="681"/>
      <c r="F36" s="731">
        <f t="shared" si="32"/>
        <v>16</v>
      </c>
      <c r="G36" s="732">
        <f t="shared" si="35"/>
        <v>0</v>
      </c>
      <c r="H36" s="733">
        <v>1</v>
      </c>
      <c r="I36" s="734">
        <f t="shared" si="22"/>
        <v>1500</v>
      </c>
      <c r="J36" s="735">
        <f t="shared" si="17"/>
        <v>0</v>
      </c>
      <c r="K36" s="778"/>
      <c r="L36" s="736"/>
      <c r="M36" s="737">
        <f t="shared" si="23"/>
        <v>18</v>
      </c>
      <c r="N36" s="601" t="str">
        <f t="shared" si="24"/>
        <v>Материалы для уроков ОБЖ</v>
      </c>
      <c r="O36" s="850"/>
      <c r="P36" s="849"/>
      <c r="Q36" s="603">
        <v>9</v>
      </c>
      <c r="R36" s="603">
        <f t="shared" si="33"/>
        <v>4</v>
      </c>
      <c r="S36" s="738">
        <f t="shared" si="36"/>
        <v>2.25</v>
      </c>
      <c r="T36" s="605">
        <v>1</v>
      </c>
      <c r="U36" s="606">
        <f t="shared" si="26"/>
        <v>1500</v>
      </c>
      <c r="V36" s="739">
        <f t="shared" si="18"/>
        <v>3375</v>
      </c>
      <c r="W36" s="778"/>
      <c r="X36" s="740">
        <v>18</v>
      </c>
      <c r="Y36" s="405" t="s">
        <v>129</v>
      </c>
      <c r="Z36" s="828" t="s">
        <v>142</v>
      </c>
      <c r="AA36" s="829"/>
      <c r="AB36" s="741"/>
      <c r="AC36" s="409">
        <f t="shared" si="34"/>
        <v>4</v>
      </c>
      <c r="AD36" s="742">
        <f t="shared" si="27"/>
        <v>0</v>
      </c>
      <c r="AE36" s="403">
        <v>1</v>
      </c>
      <c r="AF36" s="532">
        <v>1500</v>
      </c>
      <c r="AG36" s="743">
        <f t="shared" si="28"/>
        <v>0</v>
      </c>
      <c r="AH36" s="778"/>
      <c r="AI36" s="578">
        <f t="shared" si="29"/>
        <v>9</v>
      </c>
      <c r="AJ36" s="744">
        <f t="shared" si="30"/>
        <v>13500</v>
      </c>
      <c r="AK36" s="745">
        <f t="shared" si="31"/>
        <v>13500</v>
      </c>
    </row>
    <row r="37" spans="1:41" ht="17.25" customHeight="1" outlineLevel="2">
      <c r="A37" s="688">
        <f t="shared" si="19"/>
        <v>19</v>
      </c>
      <c r="B37" s="689" t="str">
        <f t="shared" si="20"/>
        <v>Доска маркерная</v>
      </c>
      <c r="C37" s="855"/>
      <c r="D37" s="856"/>
      <c r="E37" s="696">
        <v>1</v>
      </c>
      <c r="F37" s="691">
        <f t="shared" si="32"/>
        <v>16</v>
      </c>
      <c r="G37" s="692">
        <f t="shared" si="35"/>
        <v>6.25E-2</v>
      </c>
      <c r="H37" s="693">
        <v>1</v>
      </c>
      <c r="I37" s="694">
        <f t="shared" si="22"/>
        <v>2000</v>
      </c>
      <c r="J37" s="695">
        <f>IFERROR(G37*I37/H37,0)</f>
        <v>125</v>
      </c>
      <c r="K37" s="778"/>
      <c r="L37" s="21"/>
      <c r="M37" s="610">
        <f t="shared" si="23"/>
        <v>19</v>
      </c>
      <c r="N37" s="611" t="str">
        <f t="shared" si="24"/>
        <v>Доска маркерная</v>
      </c>
      <c r="O37" s="878"/>
      <c r="P37" s="879"/>
      <c r="Q37" s="613">
        <v>1</v>
      </c>
      <c r="R37" s="613">
        <f t="shared" si="33"/>
        <v>4</v>
      </c>
      <c r="S37" s="614">
        <f t="shared" si="36"/>
        <v>0.25</v>
      </c>
      <c r="T37" s="615">
        <v>1</v>
      </c>
      <c r="U37" s="616">
        <f t="shared" si="26"/>
        <v>2000</v>
      </c>
      <c r="V37" s="617">
        <f t="shared" si="18"/>
        <v>500</v>
      </c>
      <c r="W37" s="778"/>
      <c r="X37" s="10">
        <v>19</v>
      </c>
      <c r="Y37" s="358" t="s">
        <v>334</v>
      </c>
      <c r="Z37" s="826" t="s">
        <v>142</v>
      </c>
      <c r="AA37" s="827"/>
      <c r="AB37" s="373"/>
      <c r="AC37" s="374">
        <f t="shared" si="34"/>
        <v>4</v>
      </c>
      <c r="AD37" s="368">
        <f t="shared" si="27"/>
        <v>0</v>
      </c>
      <c r="AE37" s="344">
        <v>1</v>
      </c>
      <c r="AF37" s="533">
        <v>2000</v>
      </c>
      <c r="AG37" s="361">
        <f t="shared" si="28"/>
        <v>0</v>
      </c>
      <c r="AH37" s="778"/>
      <c r="AI37" s="578">
        <f t="shared" si="29"/>
        <v>2</v>
      </c>
      <c r="AJ37" s="454">
        <f t="shared" si="30"/>
        <v>4000</v>
      </c>
      <c r="AK37" s="480">
        <f t="shared" si="31"/>
        <v>4000</v>
      </c>
      <c r="AL37" s="5"/>
    </row>
    <row r="38" spans="1:41" outlineLevel="2">
      <c r="A38" s="688">
        <f t="shared" si="19"/>
        <v>20</v>
      </c>
      <c r="B38" s="689" t="str">
        <f t="shared" si="20"/>
        <v>Мел</v>
      </c>
      <c r="C38" s="855"/>
      <c r="D38" s="856"/>
      <c r="E38" s="696"/>
      <c r="F38" s="691">
        <f t="shared" si="32"/>
        <v>16</v>
      </c>
      <c r="G38" s="692">
        <f t="shared" si="35"/>
        <v>0</v>
      </c>
      <c r="H38" s="693">
        <v>1</v>
      </c>
      <c r="I38" s="694">
        <f t="shared" si="22"/>
        <v>0</v>
      </c>
      <c r="J38" s="695">
        <f t="shared" si="17"/>
        <v>0</v>
      </c>
      <c r="K38" s="778"/>
      <c r="L38" s="21"/>
      <c r="M38" s="610">
        <f t="shared" si="23"/>
        <v>20</v>
      </c>
      <c r="N38" s="611" t="str">
        <f t="shared" si="24"/>
        <v>Мел</v>
      </c>
      <c r="O38" s="878"/>
      <c r="P38" s="879"/>
      <c r="Q38" s="613"/>
      <c r="R38" s="613">
        <f t="shared" si="33"/>
        <v>4</v>
      </c>
      <c r="S38" s="614">
        <f t="shared" si="36"/>
        <v>0</v>
      </c>
      <c r="T38" s="615">
        <v>1</v>
      </c>
      <c r="U38" s="616">
        <f t="shared" si="26"/>
        <v>0</v>
      </c>
      <c r="V38" s="617">
        <f t="shared" si="18"/>
        <v>0</v>
      </c>
      <c r="W38" s="778"/>
      <c r="X38" s="10">
        <v>20</v>
      </c>
      <c r="Y38" s="370" t="s">
        <v>335</v>
      </c>
      <c r="Z38" s="826" t="s">
        <v>336</v>
      </c>
      <c r="AA38" s="827"/>
      <c r="AB38" s="371"/>
      <c r="AC38" s="374">
        <f t="shared" si="34"/>
        <v>4</v>
      </c>
      <c r="AD38" s="368">
        <f t="shared" si="27"/>
        <v>0</v>
      </c>
      <c r="AE38" s="344">
        <v>1</v>
      </c>
      <c r="AF38" s="541"/>
      <c r="AG38" s="361">
        <f t="shared" si="28"/>
        <v>0</v>
      </c>
      <c r="AH38" s="778"/>
      <c r="AI38" s="578">
        <f t="shared" si="29"/>
        <v>0</v>
      </c>
      <c r="AJ38" s="454">
        <f t="shared" si="30"/>
        <v>0</v>
      </c>
      <c r="AK38" s="480">
        <f t="shared" si="31"/>
        <v>0</v>
      </c>
      <c r="AL38" s="5"/>
    </row>
    <row r="39" spans="1:41" ht="18.75" customHeight="1" outlineLevel="2">
      <c r="A39" s="688">
        <f t="shared" si="19"/>
        <v>21</v>
      </c>
      <c r="B39" s="689">
        <f t="shared" si="20"/>
        <v>0</v>
      </c>
      <c r="C39" s="855"/>
      <c r="D39" s="856"/>
      <c r="E39" s="696"/>
      <c r="F39" s="691">
        <f t="shared" si="32"/>
        <v>16</v>
      </c>
      <c r="G39" s="692">
        <f t="shared" si="35"/>
        <v>0</v>
      </c>
      <c r="H39" s="693">
        <v>1</v>
      </c>
      <c r="I39" s="694">
        <f t="shared" si="22"/>
        <v>0</v>
      </c>
      <c r="J39" s="695">
        <f t="shared" si="17"/>
        <v>0</v>
      </c>
      <c r="K39" s="778"/>
      <c r="L39" s="21"/>
      <c r="M39" s="610">
        <f t="shared" si="23"/>
        <v>21</v>
      </c>
      <c r="N39" s="611">
        <f t="shared" si="24"/>
        <v>0</v>
      </c>
      <c r="O39" s="878"/>
      <c r="P39" s="879"/>
      <c r="Q39" s="613"/>
      <c r="R39" s="613">
        <f t="shared" si="33"/>
        <v>4</v>
      </c>
      <c r="S39" s="614">
        <f t="shared" si="36"/>
        <v>0</v>
      </c>
      <c r="T39" s="615">
        <v>1</v>
      </c>
      <c r="U39" s="616">
        <f t="shared" si="26"/>
        <v>0</v>
      </c>
      <c r="V39" s="617">
        <f t="shared" si="18"/>
        <v>0</v>
      </c>
      <c r="W39" s="778"/>
      <c r="X39" s="10">
        <v>21</v>
      </c>
      <c r="Y39" s="370"/>
      <c r="Z39" s="826"/>
      <c r="AA39" s="827"/>
      <c r="AB39" s="351"/>
      <c r="AC39" s="374">
        <f t="shared" si="34"/>
        <v>4</v>
      </c>
      <c r="AD39" s="368">
        <f t="shared" si="27"/>
        <v>0</v>
      </c>
      <c r="AE39" s="344"/>
      <c r="AF39" s="541"/>
      <c r="AG39" s="361">
        <f t="shared" si="28"/>
        <v>0</v>
      </c>
      <c r="AH39" s="778"/>
      <c r="AI39" s="578">
        <f t="shared" si="29"/>
        <v>0</v>
      </c>
      <c r="AJ39" s="454">
        <f t="shared" si="30"/>
        <v>0</v>
      </c>
      <c r="AK39" s="480">
        <f t="shared" si="31"/>
        <v>0</v>
      </c>
      <c r="AL39" s="5"/>
    </row>
    <row r="40" spans="1:41" ht="15.75" hidden="1" customHeight="1" outlineLevel="2">
      <c r="A40" s="688">
        <f t="shared" si="19"/>
        <v>22</v>
      </c>
      <c r="B40" s="689">
        <f t="shared" si="20"/>
        <v>0</v>
      </c>
      <c r="C40" s="855"/>
      <c r="D40" s="856"/>
      <c r="E40" s="696"/>
      <c r="F40" s="691">
        <f t="shared" si="32"/>
        <v>16</v>
      </c>
      <c r="G40" s="692">
        <f t="shared" si="35"/>
        <v>0</v>
      </c>
      <c r="H40" s="693">
        <v>1</v>
      </c>
      <c r="I40" s="694">
        <f t="shared" si="22"/>
        <v>0</v>
      </c>
      <c r="J40" s="695">
        <f t="shared" si="17"/>
        <v>0</v>
      </c>
      <c r="K40" s="778"/>
      <c r="L40" s="21"/>
      <c r="M40" s="610">
        <f t="shared" si="23"/>
        <v>22</v>
      </c>
      <c r="N40" s="611">
        <f t="shared" si="24"/>
        <v>0</v>
      </c>
      <c r="O40" s="878"/>
      <c r="P40" s="879"/>
      <c r="Q40" s="613"/>
      <c r="R40" s="613">
        <f t="shared" si="33"/>
        <v>4</v>
      </c>
      <c r="S40" s="614">
        <f t="shared" si="36"/>
        <v>0</v>
      </c>
      <c r="T40" s="615">
        <v>1</v>
      </c>
      <c r="U40" s="616">
        <f t="shared" si="26"/>
        <v>0</v>
      </c>
      <c r="V40" s="617">
        <f t="shared" si="18"/>
        <v>0</v>
      </c>
      <c r="W40" s="778"/>
      <c r="X40" s="10">
        <v>22</v>
      </c>
      <c r="Y40" s="370"/>
      <c r="Z40" s="826"/>
      <c r="AA40" s="827"/>
      <c r="AB40" s="351"/>
      <c r="AC40" s="374">
        <f t="shared" si="34"/>
        <v>4</v>
      </c>
      <c r="AD40" s="368">
        <f t="shared" si="27"/>
        <v>0</v>
      </c>
      <c r="AE40" s="344"/>
      <c r="AF40" s="541"/>
      <c r="AG40" s="361">
        <f t="shared" si="28"/>
        <v>0</v>
      </c>
      <c r="AH40" s="778"/>
      <c r="AI40" s="578">
        <f t="shared" si="29"/>
        <v>0</v>
      </c>
      <c r="AJ40" s="454">
        <f t="shared" si="30"/>
        <v>0</v>
      </c>
      <c r="AK40" s="480">
        <f t="shared" si="31"/>
        <v>0</v>
      </c>
      <c r="AL40" s="5"/>
    </row>
    <row r="41" spans="1:41" ht="15.75" hidden="1" customHeight="1" outlineLevel="2">
      <c r="A41" s="688">
        <f t="shared" si="19"/>
        <v>23</v>
      </c>
      <c r="B41" s="689">
        <f t="shared" si="20"/>
        <v>0</v>
      </c>
      <c r="C41" s="855"/>
      <c r="D41" s="856"/>
      <c r="E41" s="696"/>
      <c r="F41" s="691">
        <f t="shared" si="32"/>
        <v>16</v>
      </c>
      <c r="G41" s="692">
        <f t="shared" si="35"/>
        <v>0</v>
      </c>
      <c r="H41" s="693">
        <v>1</v>
      </c>
      <c r="I41" s="694">
        <f t="shared" si="22"/>
        <v>0</v>
      </c>
      <c r="J41" s="695">
        <f t="shared" si="17"/>
        <v>0</v>
      </c>
      <c r="K41" s="778"/>
      <c r="L41" s="21"/>
      <c r="M41" s="610">
        <f t="shared" si="23"/>
        <v>23</v>
      </c>
      <c r="N41" s="611">
        <f t="shared" si="24"/>
        <v>0</v>
      </c>
      <c r="O41" s="878"/>
      <c r="P41" s="879"/>
      <c r="Q41" s="613"/>
      <c r="R41" s="613">
        <f t="shared" si="33"/>
        <v>4</v>
      </c>
      <c r="S41" s="614">
        <f t="shared" si="36"/>
        <v>0</v>
      </c>
      <c r="T41" s="615">
        <v>1</v>
      </c>
      <c r="U41" s="616">
        <f t="shared" si="26"/>
        <v>0</v>
      </c>
      <c r="V41" s="617">
        <f t="shared" si="18"/>
        <v>0</v>
      </c>
      <c r="W41" s="778"/>
      <c r="X41" s="10">
        <v>23</v>
      </c>
      <c r="Y41" s="358"/>
      <c r="Z41" s="826"/>
      <c r="AA41" s="827"/>
      <c r="AB41" s="337"/>
      <c r="AC41" s="374">
        <f t="shared" si="34"/>
        <v>4</v>
      </c>
      <c r="AD41" s="368">
        <f t="shared" si="27"/>
        <v>0</v>
      </c>
      <c r="AE41" s="344">
        <v>1</v>
      </c>
      <c r="AF41" s="533"/>
      <c r="AG41" s="361">
        <f t="shared" si="28"/>
        <v>0</v>
      </c>
      <c r="AH41" s="778"/>
      <c r="AI41" s="578">
        <f t="shared" si="29"/>
        <v>0</v>
      </c>
      <c r="AJ41" s="454">
        <f t="shared" si="30"/>
        <v>0</v>
      </c>
      <c r="AK41" s="480">
        <f t="shared" si="31"/>
        <v>0</v>
      </c>
      <c r="AL41" s="5"/>
    </row>
    <row r="42" spans="1:41" ht="15.75" hidden="1" customHeight="1" outlineLevel="2">
      <c r="A42" s="688">
        <f t="shared" si="19"/>
        <v>24</v>
      </c>
      <c r="B42" s="689">
        <f t="shared" si="20"/>
        <v>0</v>
      </c>
      <c r="C42" s="855"/>
      <c r="D42" s="856"/>
      <c r="E42" s="696"/>
      <c r="F42" s="691">
        <f t="shared" si="32"/>
        <v>16</v>
      </c>
      <c r="G42" s="692">
        <f t="shared" si="35"/>
        <v>0</v>
      </c>
      <c r="H42" s="693">
        <v>1</v>
      </c>
      <c r="I42" s="694">
        <f t="shared" si="22"/>
        <v>0</v>
      </c>
      <c r="J42" s="695">
        <f t="shared" si="17"/>
        <v>0</v>
      </c>
      <c r="K42" s="778"/>
      <c r="L42" s="21"/>
      <c r="M42" s="610">
        <f t="shared" si="23"/>
        <v>24</v>
      </c>
      <c r="N42" s="611">
        <f t="shared" si="24"/>
        <v>0</v>
      </c>
      <c r="O42" s="878"/>
      <c r="P42" s="879"/>
      <c r="Q42" s="613"/>
      <c r="R42" s="613">
        <f t="shared" si="33"/>
        <v>4</v>
      </c>
      <c r="S42" s="614">
        <f t="shared" si="36"/>
        <v>0</v>
      </c>
      <c r="T42" s="615">
        <v>1</v>
      </c>
      <c r="U42" s="616">
        <f t="shared" si="26"/>
        <v>0</v>
      </c>
      <c r="V42" s="617">
        <f t="shared" si="18"/>
        <v>0</v>
      </c>
      <c r="W42" s="778"/>
      <c r="X42" s="10">
        <v>24</v>
      </c>
      <c r="Y42" s="358"/>
      <c r="Z42" s="826"/>
      <c r="AA42" s="827"/>
      <c r="AB42" s="337"/>
      <c r="AC42" s="374">
        <f t="shared" si="34"/>
        <v>4</v>
      </c>
      <c r="AD42" s="368">
        <f t="shared" si="27"/>
        <v>0</v>
      </c>
      <c r="AE42" s="344">
        <v>1</v>
      </c>
      <c r="AF42" s="533"/>
      <c r="AG42" s="361">
        <f t="shared" si="28"/>
        <v>0</v>
      </c>
      <c r="AH42" s="778"/>
      <c r="AI42" s="578">
        <f t="shared" si="29"/>
        <v>0</v>
      </c>
      <c r="AJ42" s="454">
        <f t="shared" si="30"/>
        <v>0</v>
      </c>
      <c r="AK42" s="480">
        <f t="shared" si="31"/>
        <v>0</v>
      </c>
      <c r="AL42" s="5"/>
    </row>
    <row r="43" spans="1:41" ht="15.75" hidden="1" customHeight="1" outlineLevel="2">
      <c r="A43" s="688">
        <f t="shared" si="19"/>
        <v>25</v>
      </c>
      <c r="B43" s="689">
        <f t="shared" si="20"/>
        <v>0</v>
      </c>
      <c r="C43" s="855"/>
      <c r="D43" s="856"/>
      <c r="E43" s="696"/>
      <c r="F43" s="691">
        <f t="shared" si="32"/>
        <v>16</v>
      </c>
      <c r="G43" s="692">
        <f t="shared" si="35"/>
        <v>0</v>
      </c>
      <c r="H43" s="693">
        <v>1</v>
      </c>
      <c r="I43" s="694">
        <f t="shared" si="22"/>
        <v>0</v>
      </c>
      <c r="J43" s="695">
        <f t="shared" si="17"/>
        <v>0</v>
      </c>
      <c r="K43" s="778"/>
      <c r="L43" s="21"/>
      <c r="M43" s="610">
        <f t="shared" si="23"/>
        <v>25</v>
      </c>
      <c r="N43" s="611">
        <f t="shared" si="24"/>
        <v>0</v>
      </c>
      <c r="O43" s="878"/>
      <c r="P43" s="879"/>
      <c r="Q43" s="613"/>
      <c r="R43" s="613">
        <f t="shared" si="33"/>
        <v>4</v>
      </c>
      <c r="S43" s="614">
        <f t="shared" si="36"/>
        <v>0</v>
      </c>
      <c r="T43" s="615">
        <v>1</v>
      </c>
      <c r="U43" s="616">
        <f t="shared" si="26"/>
        <v>0</v>
      </c>
      <c r="V43" s="617">
        <f t="shared" si="18"/>
        <v>0</v>
      </c>
      <c r="W43" s="778"/>
      <c r="X43" s="10">
        <v>25</v>
      </c>
      <c r="Y43" s="358"/>
      <c r="Z43" s="826"/>
      <c r="AA43" s="827"/>
      <c r="AB43" s="337"/>
      <c r="AC43" s="374">
        <f t="shared" si="34"/>
        <v>4</v>
      </c>
      <c r="AD43" s="368">
        <f t="shared" si="27"/>
        <v>0</v>
      </c>
      <c r="AE43" s="344">
        <v>1</v>
      </c>
      <c r="AF43" s="533"/>
      <c r="AG43" s="361">
        <f t="shared" si="28"/>
        <v>0</v>
      </c>
      <c r="AH43" s="778"/>
      <c r="AI43" s="578">
        <f t="shared" si="29"/>
        <v>0</v>
      </c>
      <c r="AJ43" s="454">
        <f t="shared" si="30"/>
        <v>0</v>
      </c>
      <c r="AK43" s="480">
        <f t="shared" si="31"/>
        <v>0</v>
      </c>
      <c r="AL43" s="5"/>
    </row>
    <row r="44" spans="1:41" ht="15.75" hidden="1" customHeight="1" outlineLevel="2">
      <c r="A44" s="688">
        <f t="shared" si="19"/>
        <v>26</v>
      </c>
      <c r="B44" s="689">
        <f t="shared" si="20"/>
        <v>0</v>
      </c>
      <c r="C44" s="855"/>
      <c r="D44" s="856"/>
      <c r="E44" s="696"/>
      <c r="F44" s="691">
        <f t="shared" si="32"/>
        <v>16</v>
      </c>
      <c r="G44" s="692">
        <f t="shared" si="35"/>
        <v>0</v>
      </c>
      <c r="H44" s="693">
        <v>1</v>
      </c>
      <c r="I44" s="694">
        <f t="shared" si="22"/>
        <v>0</v>
      </c>
      <c r="J44" s="695">
        <f t="shared" si="17"/>
        <v>0</v>
      </c>
      <c r="K44" s="778"/>
      <c r="L44" s="21"/>
      <c r="M44" s="610">
        <f t="shared" si="23"/>
        <v>26</v>
      </c>
      <c r="N44" s="611">
        <f t="shared" si="24"/>
        <v>0</v>
      </c>
      <c r="O44" s="878"/>
      <c r="P44" s="879"/>
      <c r="Q44" s="613"/>
      <c r="R44" s="613">
        <f t="shared" si="33"/>
        <v>4</v>
      </c>
      <c r="S44" s="614">
        <f t="shared" si="36"/>
        <v>0</v>
      </c>
      <c r="T44" s="615">
        <v>1</v>
      </c>
      <c r="U44" s="616">
        <f t="shared" si="26"/>
        <v>0</v>
      </c>
      <c r="V44" s="617">
        <f t="shared" si="18"/>
        <v>0</v>
      </c>
      <c r="W44" s="778"/>
      <c r="X44" s="10">
        <v>26</v>
      </c>
      <c r="Y44" s="358"/>
      <c r="Z44" s="826"/>
      <c r="AA44" s="827"/>
      <c r="AB44" s="337"/>
      <c r="AC44" s="374">
        <f t="shared" si="34"/>
        <v>4</v>
      </c>
      <c r="AD44" s="368">
        <f t="shared" si="27"/>
        <v>0</v>
      </c>
      <c r="AE44" s="344">
        <v>1</v>
      </c>
      <c r="AF44" s="533"/>
      <c r="AG44" s="361">
        <f t="shared" si="28"/>
        <v>0</v>
      </c>
      <c r="AH44" s="778"/>
      <c r="AI44" s="578">
        <f t="shared" si="29"/>
        <v>0</v>
      </c>
      <c r="AJ44" s="454">
        <f t="shared" si="30"/>
        <v>0</v>
      </c>
      <c r="AK44" s="480">
        <f t="shared" si="31"/>
        <v>0</v>
      </c>
      <c r="AL44" s="5"/>
    </row>
    <row r="45" spans="1:41" ht="15" customHeight="1" outlineLevel="2">
      <c r="A45" s="857" t="s">
        <v>43</v>
      </c>
      <c r="B45" s="858"/>
      <c r="C45" s="858"/>
      <c r="D45" s="858"/>
      <c r="E45" s="858"/>
      <c r="F45" s="858"/>
      <c r="G45" s="858"/>
      <c r="H45" s="858"/>
      <c r="I45" s="859"/>
      <c r="J45" s="697">
        <f>SUM(J19:J44)</f>
        <v>1953.75</v>
      </c>
      <c r="K45" s="779"/>
      <c r="L45" s="21"/>
      <c r="M45" s="884" t="s">
        <v>43</v>
      </c>
      <c r="N45" s="885"/>
      <c r="O45" s="885"/>
      <c r="P45" s="885"/>
      <c r="Q45" s="885"/>
      <c r="R45" s="885"/>
      <c r="S45" s="885"/>
      <c r="T45" s="885"/>
      <c r="U45" s="886"/>
      <c r="V45" s="618">
        <f>SUM(V19:V44)</f>
        <v>14685</v>
      </c>
      <c r="W45" s="779"/>
      <c r="X45" s="833" t="s">
        <v>43</v>
      </c>
      <c r="Y45" s="833"/>
      <c r="Z45" s="833"/>
      <c r="AA45" s="833"/>
      <c r="AB45" s="833"/>
      <c r="AC45" s="833"/>
      <c r="AD45" s="833"/>
      <c r="AE45" s="833"/>
      <c r="AF45" s="833"/>
      <c r="AG45" s="360">
        <f>SUM(AG19:AG44)</f>
        <v>0</v>
      </c>
      <c r="AH45" s="779"/>
      <c r="AI45" s="482">
        <f>AG45*AC38+V45*R38+J45*F38</f>
        <v>90000</v>
      </c>
      <c r="AJ45" s="445">
        <f>SUM(AJ19:AJ44)</f>
        <v>90000</v>
      </c>
      <c r="AK45" s="445">
        <f>SUM(AK19:AK44)</f>
        <v>90000</v>
      </c>
      <c r="AL45" s="5"/>
    </row>
    <row r="46" spans="1:41" s="39" customFormat="1" outlineLevel="2">
      <c r="A46" s="834"/>
      <c r="B46" s="835"/>
      <c r="C46" s="835"/>
      <c r="D46" s="835"/>
      <c r="E46" s="835"/>
      <c r="F46" s="835"/>
      <c r="G46" s="835"/>
      <c r="H46" s="835"/>
      <c r="I46" s="835"/>
      <c r="J46" s="835"/>
      <c r="K46" s="836"/>
      <c r="L46" s="135"/>
      <c r="M46" s="895"/>
      <c r="N46" s="896"/>
      <c r="O46" s="896"/>
      <c r="P46" s="896"/>
      <c r="Q46" s="896"/>
      <c r="R46" s="896"/>
      <c r="S46" s="896"/>
      <c r="T46" s="896"/>
      <c r="U46" s="896"/>
      <c r="V46" s="896"/>
      <c r="W46" s="897"/>
      <c r="X46" s="834"/>
      <c r="Y46" s="835"/>
      <c r="Z46" s="835"/>
      <c r="AA46" s="835"/>
      <c r="AB46" s="835"/>
      <c r="AC46" s="835"/>
      <c r="AD46" s="835"/>
      <c r="AE46" s="835"/>
      <c r="AF46" s="835"/>
      <c r="AG46" s="835"/>
      <c r="AH46" s="836"/>
      <c r="AI46" s="475">
        <f>AJ45-AI45</f>
        <v>0</v>
      </c>
      <c r="AJ46" s="455"/>
      <c r="AK46" s="433">
        <f>AC155+AB155</f>
        <v>90000</v>
      </c>
    </row>
    <row r="47" spans="1:41" s="13" customFormat="1" ht="68.25" customHeight="1">
      <c r="A47" s="687" t="s">
        <v>1</v>
      </c>
      <c r="B47" s="687" t="s">
        <v>3</v>
      </c>
      <c r="C47" s="851"/>
      <c r="D47" s="852"/>
      <c r="E47" s="687" t="s">
        <v>63</v>
      </c>
      <c r="F47" s="687" t="s">
        <v>2</v>
      </c>
      <c r="G47" s="677" t="s">
        <v>58</v>
      </c>
      <c r="H47" s="677" t="s">
        <v>61</v>
      </c>
      <c r="I47" s="677" t="s">
        <v>74</v>
      </c>
      <c r="J47" s="677" t="s">
        <v>5</v>
      </c>
      <c r="K47" s="677" t="s">
        <v>0</v>
      </c>
      <c r="L47" s="334"/>
      <c r="M47" s="609" t="s">
        <v>1</v>
      </c>
      <c r="N47" s="609" t="s">
        <v>3</v>
      </c>
      <c r="O47" s="851"/>
      <c r="P47" s="852"/>
      <c r="Q47" s="609" t="s">
        <v>63</v>
      </c>
      <c r="R47" s="609" t="s">
        <v>2</v>
      </c>
      <c r="S47" s="599" t="s">
        <v>58</v>
      </c>
      <c r="T47" s="599" t="s">
        <v>61</v>
      </c>
      <c r="U47" s="599" t="s">
        <v>74</v>
      </c>
      <c r="V47" s="599" t="s">
        <v>5</v>
      </c>
      <c r="W47" s="599" t="s">
        <v>0</v>
      </c>
      <c r="X47" s="12" t="s">
        <v>1</v>
      </c>
      <c r="Y47" s="12" t="s">
        <v>3</v>
      </c>
      <c r="Z47" s="775"/>
      <c r="AA47" s="776"/>
      <c r="AB47" s="12" t="s">
        <v>63</v>
      </c>
      <c r="AC47" s="12" t="s">
        <v>2</v>
      </c>
      <c r="AD47" s="11" t="s">
        <v>58</v>
      </c>
      <c r="AE47" s="11" t="s">
        <v>61</v>
      </c>
      <c r="AF47" s="11" t="s">
        <v>74</v>
      </c>
      <c r="AG47" s="11" t="s">
        <v>5</v>
      </c>
      <c r="AH47" s="11" t="s">
        <v>0</v>
      </c>
      <c r="AI47" s="483"/>
      <c r="AJ47" s="484"/>
      <c r="AK47" s="481">
        <f>AK46-AK45</f>
        <v>0</v>
      </c>
    </row>
    <row r="48" spans="1:41">
      <c r="A48" s="677">
        <v>1</v>
      </c>
      <c r="B48" s="677">
        <v>2</v>
      </c>
      <c r="C48" s="846"/>
      <c r="D48" s="847"/>
      <c r="E48" s="677">
        <v>3</v>
      </c>
      <c r="F48" s="677">
        <v>4</v>
      </c>
      <c r="G48" s="677" t="s">
        <v>77</v>
      </c>
      <c r="H48" s="677">
        <v>6</v>
      </c>
      <c r="I48" s="677">
        <v>7</v>
      </c>
      <c r="J48" s="677" t="s">
        <v>60</v>
      </c>
      <c r="K48" s="677">
        <v>9</v>
      </c>
      <c r="L48" s="334"/>
      <c r="M48" s="599">
        <v>1</v>
      </c>
      <c r="N48" s="599">
        <v>2</v>
      </c>
      <c r="O48" s="846"/>
      <c r="P48" s="847"/>
      <c r="Q48" s="599">
        <v>3</v>
      </c>
      <c r="R48" s="599">
        <v>4</v>
      </c>
      <c r="S48" s="599" t="s">
        <v>77</v>
      </c>
      <c r="T48" s="599">
        <v>6</v>
      </c>
      <c r="U48" s="599">
        <v>7</v>
      </c>
      <c r="V48" s="599" t="s">
        <v>60</v>
      </c>
      <c r="W48" s="599">
        <v>9</v>
      </c>
      <c r="X48" s="11">
        <v>1</v>
      </c>
      <c r="Y48" s="11">
        <v>2</v>
      </c>
      <c r="Z48" s="758"/>
      <c r="AA48" s="759"/>
      <c r="AB48" s="11">
        <v>3</v>
      </c>
      <c r="AC48" s="11">
        <v>4</v>
      </c>
      <c r="AD48" s="11" t="s">
        <v>77</v>
      </c>
      <c r="AE48" s="11">
        <v>6</v>
      </c>
      <c r="AF48" s="11">
        <v>7</v>
      </c>
      <c r="AG48" s="11" t="s">
        <v>60</v>
      </c>
      <c r="AH48" s="11">
        <v>9</v>
      </c>
      <c r="AI48" s="483"/>
      <c r="AJ48" s="484"/>
      <c r="AO48" s="495"/>
    </row>
    <row r="49" spans="1:41" ht="15.75" thickBot="1">
      <c r="A49" s="840" t="s">
        <v>8</v>
      </c>
      <c r="B49" s="841"/>
      <c r="C49" s="841"/>
      <c r="D49" s="841"/>
      <c r="E49" s="841"/>
      <c r="F49" s="841"/>
      <c r="G49" s="841"/>
      <c r="H49" s="841"/>
      <c r="I49" s="841"/>
      <c r="J49" s="841"/>
      <c r="K49" s="842"/>
      <c r="L49" s="330"/>
      <c r="M49" s="840" t="s">
        <v>8</v>
      </c>
      <c r="N49" s="841"/>
      <c r="O49" s="841"/>
      <c r="P49" s="841"/>
      <c r="Q49" s="841"/>
      <c r="R49" s="841"/>
      <c r="S49" s="841"/>
      <c r="T49" s="841"/>
      <c r="U49" s="841"/>
      <c r="V49" s="841"/>
      <c r="W49" s="842"/>
      <c r="X49" s="750" t="s">
        <v>8</v>
      </c>
      <c r="Y49" s="823"/>
      <c r="Z49" s="751"/>
      <c r="AA49" s="751"/>
      <c r="AB49" s="751"/>
      <c r="AC49" s="751"/>
      <c r="AD49" s="751"/>
      <c r="AE49" s="751"/>
      <c r="AF49" s="751"/>
      <c r="AG49" s="823"/>
      <c r="AH49" s="752"/>
      <c r="AI49" s="485"/>
      <c r="AJ49" s="486"/>
      <c r="AK49" s="478" t="s">
        <v>350</v>
      </c>
      <c r="AL49" s="425"/>
      <c r="AO49" s="495"/>
    </row>
    <row r="50" spans="1:41" s="404" customFormat="1" ht="16.5" customHeight="1" outlineLevel="2" thickBot="1">
      <c r="A50" s="487">
        <f>M50</f>
        <v>1</v>
      </c>
      <c r="B50" s="698" t="str">
        <f>N50</f>
        <v>медосмотр педработников</v>
      </c>
      <c r="C50" s="853" t="str">
        <f>O50</f>
        <v>сумма договора в год</v>
      </c>
      <c r="D50" s="854"/>
      <c r="E50" s="699">
        <f>1/24*F50</f>
        <v>0.66666666666666663</v>
      </c>
      <c r="F50" s="681">
        <f>C7</f>
        <v>16</v>
      </c>
      <c r="G50" s="700">
        <f t="shared" ref="G50:G56" si="37">E50/F50</f>
        <v>4.1666666666666664E-2</v>
      </c>
      <c r="H50" s="683">
        <v>1</v>
      </c>
      <c r="I50" s="684">
        <f>U50</f>
        <v>25000</v>
      </c>
      <c r="J50" s="685">
        <f t="shared" ref="J50:J56" si="38">IFERROR(G50*I50/H50,0)</f>
        <v>1041.6666666666665</v>
      </c>
      <c r="K50" s="898" t="s">
        <v>62</v>
      </c>
      <c r="L50" s="595"/>
      <c r="M50" s="487">
        <f>X50</f>
        <v>1</v>
      </c>
      <c r="N50" s="619" t="str">
        <f>Y50</f>
        <v>медосмотр педработников</v>
      </c>
      <c r="O50" s="850" t="str">
        <f>Z50</f>
        <v>сумма договора в год</v>
      </c>
      <c r="P50" s="849"/>
      <c r="Q50" s="620">
        <f>1/24*R50</f>
        <v>0.16666666666666666</v>
      </c>
      <c r="R50" s="603">
        <f>O7</f>
        <v>4</v>
      </c>
      <c r="S50" s="621">
        <f t="shared" ref="S50:S56" si="39">Q50/R50</f>
        <v>4.1666666666666664E-2</v>
      </c>
      <c r="T50" s="605">
        <v>1</v>
      </c>
      <c r="U50" s="622">
        <f>AF50</f>
        <v>25000</v>
      </c>
      <c r="V50" s="607">
        <f t="shared" ref="V50:V56" si="40">IFERROR(S50*U50/T50,0)</f>
        <v>1041.6666666666665</v>
      </c>
      <c r="W50" s="898" t="s">
        <v>62</v>
      </c>
      <c r="X50" s="487">
        <v>1</v>
      </c>
      <c r="Y50" s="352" t="s">
        <v>337</v>
      </c>
      <c r="Z50" s="824" t="s">
        <v>130</v>
      </c>
      <c r="AA50" s="825"/>
      <c r="AB50" s="573">
        <f>1/24*AC50</f>
        <v>0.16666666666666666</v>
      </c>
      <c r="AC50" s="409">
        <f>AC44</f>
        <v>4</v>
      </c>
      <c r="AD50" s="368">
        <f t="shared" ref="AD50:AD56" si="41">AB50/AC50</f>
        <v>4.1666666666666664E-2</v>
      </c>
      <c r="AE50" s="403">
        <v>1</v>
      </c>
      <c r="AF50" s="532">
        <v>25000</v>
      </c>
      <c r="AG50" s="406">
        <f t="shared" ref="AG50:AG56" si="42">IFERROR(AD50*AF50/AE50,0)</f>
        <v>1041.6666666666665</v>
      </c>
      <c r="AH50" s="898" t="s">
        <v>62</v>
      </c>
      <c r="AI50" s="588">
        <f>AB50+Q50+E50</f>
        <v>1</v>
      </c>
      <c r="AJ50" s="490">
        <f>AG50*AC50+V50*R50+J50*F50</f>
        <v>24999.999999999996</v>
      </c>
      <c r="AK50" s="561">
        <f>AC152+AF152</f>
        <v>25000</v>
      </c>
      <c r="AL50" s="492">
        <f>AK50-AJ50</f>
        <v>0</v>
      </c>
      <c r="AM50" s="493">
        <v>226</v>
      </c>
      <c r="AO50" s="496"/>
    </row>
    <row r="51" spans="1:41" s="404" customFormat="1" ht="18" customHeight="1" outlineLevel="2" thickBot="1">
      <c r="A51" s="487">
        <f t="shared" ref="A51:A56" si="43">M51</f>
        <v>2</v>
      </c>
      <c r="B51" s="698" t="str">
        <f t="shared" ref="B51:B56" si="44">N51</f>
        <v>ремонт и обслуживание оргтехники</v>
      </c>
      <c r="C51" s="853" t="str">
        <f t="shared" ref="C51:C56" si="45">O51</f>
        <v>кол-во ед.оргтехники</v>
      </c>
      <c r="D51" s="854"/>
      <c r="E51" s="671"/>
      <c r="F51" s="681">
        <f>F50</f>
        <v>16</v>
      </c>
      <c r="G51" s="700">
        <f t="shared" si="37"/>
        <v>0</v>
      </c>
      <c r="H51" s="683">
        <v>1</v>
      </c>
      <c r="I51" s="684">
        <f t="shared" ref="I51:I56" si="46">U51</f>
        <v>0</v>
      </c>
      <c r="J51" s="685">
        <f t="shared" si="38"/>
        <v>0</v>
      </c>
      <c r="K51" s="794"/>
      <c r="L51" s="595"/>
      <c r="M51" s="487">
        <f t="shared" ref="M51:M56" si="47">X51</f>
        <v>2</v>
      </c>
      <c r="N51" s="619" t="str">
        <f t="shared" ref="N51:N56" si="48">Y51</f>
        <v>ремонт и обслуживание оргтехники</v>
      </c>
      <c r="O51" s="850" t="str">
        <f t="shared" ref="O51:O56" si="49">Z51</f>
        <v>кол-во ед.оргтехники</v>
      </c>
      <c r="P51" s="849"/>
      <c r="Q51" s="623"/>
      <c r="R51" s="603">
        <f>R50</f>
        <v>4</v>
      </c>
      <c r="S51" s="621">
        <f t="shared" si="39"/>
        <v>0</v>
      </c>
      <c r="T51" s="605">
        <v>1</v>
      </c>
      <c r="U51" s="622">
        <f t="shared" ref="U51:U56" si="50">AF51</f>
        <v>0</v>
      </c>
      <c r="V51" s="607">
        <f t="shared" si="40"/>
        <v>0</v>
      </c>
      <c r="W51" s="794"/>
      <c r="X51" s="487">
        <v>2</v>
      </c>
      <c r="Y51" s="352" t="s">
        <v>102</v>
      </c>
      <c r="Z51" s="824" t="s">
        <v>131</v>
      </c>
      <c r="AA51" s="825"/>
      <c r="AB51" s="488"/>
      <c r="AC51" s="409">
        <f>AC50</f>
        <v>4</v>
      </c>
      <c r="AD51" s="368">
        <f t="shared" si="41"/>
        <v>0</v>
      </c>
      <c r="AE51" s="403">
        <v>1</v>
      </c>
      <c r="AF51" s="532"/>
      <c r="AG51" s="406">
        <f t="shared" si="42"/>
        <v>0</v>
      </c>
      <c r="AH51" s="794"/>
      <c r="AI51" s="588">
        <f t="shared" ref="AI51:AI56" si="51">AB51+Q51+E51</f>
        <v>0</v>
      </c>
      <c r="AJ51" s="490">
        <f t="shared" ref="AJ51:AJ56" si="52">AG51*AC51+V51*R51+J51*F51</f>
        <v>0</v>
      </c>
      <c r="AK51" s="491"/>
      <c r="AL51" s="492">
        <f t="shared" ref="AL51" si="53">AK51-AJ51</f>
        <v>0</v>
      </c>
      <c r="AO51" s="496"/>
    </row>
    <row r="52" spans="1:41" s="404" customFormat="1" ht="15.75" customHeight="1" outlineLevel="2" thickBot="1">
      <c r="A52" s="487">
        <f t="shared" si="43"/>
        <v>3</v>
      </c>
      <c r="B52" s="698" t="str">
        <f t="shared" si="44"/>
        <v>Интернет (компьютерный класс)</v>
      </c>
      <c r="C52" s="853" t="str">
        <f t="shared" si="45"/>
        <v>сумма договора в год</v>
      </c>
      <c r="D52" s="854"/>
      <c r="E52" s="671">
        <f>1/20*F52</f>
        <v>0.8</v>
      </c>
      <c r="F52" s="681">
        <f t="shared" ref="F52:F56" si="54">F51</f>
        <v>16</v>
      </c>
      <c r="G52" s="700">
        <f t="shared" si="37"/>
        <v>0.05</v>
      </c>
      <c r="H52" s="683">
        <v>1</v>
      </c>
      <c r="I52" s="684">
        <f t="shared" si="46"/>
        <v>210000</v>
      </c>
      <c r="J52" s="685">
        <f t="shared" si="38"/>
        <v>10500</v>
      </c>
      <c r="K52" s="794"/>
      <c r="L52" s="595"/>
      <c r="M52" s="487">
        <f t="shared" si="47"/>
        <v>3</v>
      </c>
      <c r="N52" s="619" t="str">
        <f t="shared" si="48"/>
        <v>Интернет (компьютерный класс)</v>
      </c>
      <c r="O52" s="850" t="str">
        <f t="shared" si="49"/>
        <v>сумма договора в год</v>
      </c>
      <c r="P52" s="849"/>
      <c r="Q52" s="623">
        <f>1/20*R52</f>
        <v>0.2</v>
      </c>
      <c r="R52" s="603">
        <f t="shared" ref="R52:R56" si="55">R51</f>
        <v>4</v>
      </c>
      <c r="S52" s="621">
        <f t="shared" si="39"/>
        <v>0.05</v>
      </c>
      <c r="T52" s="605">
        <v>1</v>
      </c>
      <c r="U52" s="622">
        <f t="shared" si="50"/>
        <v>210000</v>
      </c>
      <c r="V52" s="607">
        <f t="shared" si="40"/>
        <v>10500</v>
      </c>
      <c r="W52" s="794"/>
      <c r="X52" s="487">
        <v>3</v>
      </c>
      <c r="Y52" s="352" t="s">
        <v>104</v>
      </c>
      <c r="Z52" s="824" t="s">
        <v>130</v>
      </c>
      <c r="AA52" s="825"/>
      <c r="AB52" s="488"/>
      <c r="AC52" s="409">
        <f t="shared" ref="AC52:AC53" si="56">AC51</f>
        <v>4</v>
      </c>
      <c r="AD52" s="368">
        <f t="shared" si="41"/>
        <v>0</v>
      </c>
      <c r="AE52" s="403">
        <v>1</v>
      </c>
      <c r="AF52" s="532">
        <v>210000</v>
      </c>
      <c r="AG52" s="406">
        <f t="shared" si="42"/>
        <v>0</v>
      </c>
      <c r="AH52" s="794"/>
      <c r="AI52" s="588">
        <f t="shared" si="51"/>
        <v>1</v>
      </c>
      <c r="AJ52" s="490">
        <f t="shared" si="52"/>
        <v>210000</v>
      </c>
      <c r="AK52" s="561">
        <f>AC148+AB148+AE148</f>
        <v>210000</v>
      </c>
      <c r="AL52" s="492">
        <f>AK52-AJ52</f>
        <v>0</v>
      </c>
      <c r="AM52" s="493">
        <v>221</v>
      </c>
      <c r="AN52" s="474"/>
      <c r="AO52" s="496"/>
    </row>
    <row r="53" spans="1:41" s="404" customFormat="1" ht="30.75" customHeight="1" outlineLevel="2" thickBot="1">
      <c r="A53" s="487">
        <f t="shared" si="43"/>
        <v>4</v>
      </c>
      <c r="B53" s="698" t="str">
        <f t="shared" si="44"/>
        <v>командировочные расходы педработников</v>
      </c>
      <c r="C53" s="853" t="str">
        <f t="shared" si="45"/>
        <v>сумма договора в год</v>
      </c>
      <c r="D53" s="854"/>
      <c r="E53" s="699">
        <f>1/24*F53</f>
        <v>0.66666666666666663</v>
      </c>
      <c r="F53" s="681">
        <f t="shared" si="54"/>
        <v>16</v>
      </c>
      <c r="G53" s="700">
        <f t="shared" si="37"/>
        <v>4.1666666666666664E-2</v>
      </c>
      <c r="H53" s="683">
        <v>1</v>
      </c>
      <c r="I53" s="684">
        <f t="shared" si="46"/>
        <v>9000</v>
      </c>
      <c r="J53" s="685">
        <f t="shared" si="38"/>
        <v>375</v>
      </c>
      <c r="K53" s="794"/>
      <c r="L53" s="595"/>
      <c r="M53" s="487">
        <f t="shared" si="47"/>
        <v>4</v>
      </c>
      <c r="N53" s="619" t="str">
        <f t="shared" si="48"/>
        <v>командировочные расходы педработников</v>
      </c>
      <c r="O53" s="850" t="str">
        <f t="shared" si="49"/>
        <v>сумма договора в год</v>
      </c>
      <c r="P53" s="849"/>
      <c r="Q53" s="620">
        <f>1/24*R53</f>
        <v>0.16666666666666666</v>
      </c>
      <c r="R53" s="603">
        <f t="shared" si="55"/>
        <v>4</v>
      </c>
      <c r="S53" s="621">
        <f t="shared" si="39"/>
        <v>4.1666666666666664E-2</v>
      </c>
      <c r="T53" s="605">
        <v>1</v>
      </c>
      <c r="U53" s="622">
        <f t="shared" si="50"/>
        <v>9000</v>
      </c>
      <c r="V53" s="607">
        <f t="shared" si="40"/>
        <v>375</v>
      </c>
      <c r="W53" s="794"/>
      <c r="X53" s="487">
        <v>4</v>
      </c>
      <c r="Y53" s="352" t="s">
        <v>103</v>
      </c>
      <c r="Z53" s="824" t="s">
        <v>130</v>
      </c>
      <c r="AA53" s="825"/>
      <c r="AB53" s="573">
        <f>1/24*AC53</f>
        <v>0.16666666666666666</v>
      </c>
      <c r="AC53" s="409">
        <f t="shared" si="56"/>
        <v>4</v>
      </c>
      <c r="AD53" s="368">
        <f t="shared" si="41"/>
        <v>4.1666666666666664E-2</v>
      </c>
      <c r="AE53" s="403">
        <v>1</v>
      </c>
      <c r="AF53" s="532">
        <v>9000</v>
      </c>
      <c r="AG53" s="406">
        <f t="shared" si="42"/>
        <v>375</v>
      </c>
      <c r="AH53" s="794"/>
      <c r="AI53" s="588">
        <f t="shared" si="51"/>
        <v>1</v>
      </c>
      <c r="AJ53" s="490">
        <f t="shared" si="52"/>
        <v>9000</v>
      </c>
      <c r="AK53" s="561">
        <f>AC146+AF146</f>
        <v>9000</v>
      </c>
      <c r="AL53" s="492">
        <f>AK53-AJ53</f>
        <v>0</v>
      </c>
      <c r="AM53" s="493">
        <v>212</v>
      </c>
      <c r="AO53" s="496"/>
    </row>
    <row r="54" spans="1:41" s="404" customFormat="1" ht="30.75" customHeight="1" outlineLevel="2">
      <c r="A54" s="487">
        <f t="shared" si="43"/>
        <v>5</v>
      </c>
      <c r="B54" s="698" t="str">
        <f t="shared" si="44"/>
        <v>Питание участников мероприятий (олимпиады, конкурсы)</v>
      </c>
      <c r="C54" s="853">
        <f t="shared" si="45"/>
        <v>0</v>
      </c>
      <c r="D54" s="854"/>
      <c r="E54" s="671"/>
      <c r="F54" s="681">
        <f t="shared" si="54"/>
        <v>16</v>
      </c>
      <c r="G54" s="700">
        <f t="shared" si="37"/>
        <v>0</v>
      </c>
      <c r="H54" s="683">
        <v>1</v>
      </c>
      <c r="I54" s="684">
        <f t="shared" si="46"/>
        <v>0</v>
      </c>
      <c r="J54" s="685">
        <f t="shared" si="38"/>
        <v>0</v>
      </c>
      <c r="K54" s="794"/>
      <c r="L54" s="595"/>
      <c r="M54" s="487">
        <f t="shared" si="47"/>
        <v>5</v>
      </c>
      <c r="N54" s="619" t="str">
        <f t="shared" si="48"/>
        <v>Питание участников мероприятий (олимпиады, конкурсы)</v>
      </c>
      <c r="O54" s="850">
        <f t="shared" si="49"/>
        <v>0</v>
      </c>
      <c r="P54" s="849"/>
      <c r="Q54" s="623"/>
      <c r="R54" s="603">
        <f t="shared" si="55"/>
        <v>4</v>
      </c>
      <c r="S54" s="621">
        <f t="shared" si="39"/>
        <v>0</v>
      </c>
      <c r="T54" s="605">
        <v>1</v>
      </c>
      <c r="U54" s="622">
        <f t="shared" si="50"/>
        <v>0</v>
      </c>
      <c r="V54" s="607">
        <f t="shared" si="40"/>
        <v>0</v>
      </c>
      <c r="W54" s="794"/>
      <c r="X54" s="487">
        <v>5</v>
      </c>
      <c r="Y54" s="352" t="s">
        <v>106</v>
      </c>
      <c r="Z54" s="824"/>
      <c r="AA54" s="825"/>
      <c r="AB54" s="488"/>
      <c r="AC54" s="409">
        <f>AC53</f>
        <v>4</v>
      </c>
      <c r="AD54" s="368">
        <f t="shared" si="41"/>
        <v>0</v>
      </c>
      <c r="AE54" s="403">
        <v>1</v>
      </c>
      <c r="AF54" s="532"/>
      <c r="AG54" s="406">
        <f t="shared" si="42"/>
        <v>0</v>
      </c>
      <c r="AH54" s="794"/>
      <c r="AI54" s="588">
        <f t="shared" si="51"/>
        <v>0</v>
      </c>
      <c r="AJ54" s="490">
        <f t="shared" si="52"/>
        <v>0</v>
      </c>
      <c r="AL54" s="492">
        <f t="shared" ref="AL54:AL56" si="57">AK54-AJ54</f>
        <v>0</v>
      </c>
      <c r="AO54" s="496"/>
    </row>
    <row r="55" spans="1:41" s="404" customFormat="1" ht="45.75" customHeight="1" outlineLevel="2">
      <c r="A55" s="487">
        <f t="shared" si="43"/>
        <v>6</v>
      </c>
      <c r="B55" s="698" t="str">
        <f t="shared" si="44"/>
        <v>Участие воспитанников в различных мероприятиях за пределами района (проезд, проживание, питание)</v>
      </c>
      <c r="C55" s="853">
        <f t="shared" si="45"/>
        <v>0</v>
      </c>
      <c r="D55" s="854"/>
      <c r="E55" s="671"/>
      <c r="F55" s="681">
        <f t="shared" si="54"/>
        <v>16</v>
      </c>
      <c r="G55" s="700">
        <f t="shared" si="37"/>
        <v>0</v>
      </c>
      <c r="H55" s="683">
        <v>1</v>
      </c>
      <c r="I55" s="684">
        <f t="shared" si="46"/>
        <v>0</v>
      </c>
      <c r="J55" s="685">
        <f t="shared" si="38"/>
        <v>0</v>
      </c>
      <c r="K55" s="794"/>
      <c r="L55" s="595"/>
      <c r="M55" s="487">
        <f t="shared" si="47"/>
        <v>6</v>
      </c>
      <c r="N55" s="619" t="str">
        <f t="shared" si="48"/>
        <v>Участие воспитанников в различных мероприятиях за пределами района (проезд, проживание, питание)</v>
      </c>
      <c r="O55" s="850">
        <f t="shared" si="49"/>
        <v>0</v>
      </c>
      <c r="P55" s="849"/>
      <c r="Q55" s="623"/>
      <c r="R55" s="603">
        <f t="shared" si="55"/>
        <v>4</v>
      </c>
      <c r="S55" s="621">
        <f t="shared" si="39"/>
        <v>0</v>
      </c>
      <c r="T55" s="605">
        <v>1</v>
      </c>
      <c r="U55" s="622">
        <f t="shared" si="50"/>
        <v>0</v>
      </c>
      <c r="V55" s="607">
        <f t="shared" si="40"/>
        <v>0</v>
      </c>
      <c r="W55" s="794"/>
      <c r="X55" s="487">
        <v>6</v>
      </c>
      <c r="Y55" s="352" t="s">
        <v>105</v>
      </c>
      <c r="Z55" s="824"/>
      <c r="AA55" s="825"/>
      <c r="AB55" s="488"/>
      <c r="AC55" s="409">
        <f t="shared" ref="AC55:AC56" si="58">AC54</f>
        <v>4</v>
      </c>
      <c r="AD55" s="368">
        <f t="shared" si="41"/>
        <v>0</v>
      </c>
      <c r="AE55" s="403">
        <v>1</v>
      </c>
      <c r="AF55" s="532"/>
      <c r="AG55" s="406">
        <f t="shared" si="42"/>
        <v>0</v>
      </c>
      <c r="AH55" s="794"/>
      <c r="AI55" s="588">
        <f t="shared" si="51"/>
        <v>0</v>
      </c>
      <c r="AJ55" s="490">
        <f t="shared" si="52"/>
        <v>0</v>
      </c>
      <c r="AL55" s="492">
        <f t="shared" si="57"/>
        <v>0</v>
      </c>
      <c r="AO55" s="496"/>
    </row>
    <row r="56" spans="1:41" s="404" customFormat="1" ht="30" outlineLevel="2">
      <c r="A56" s="487">
        <f t="shared" si="43"/>
        <v>7</v>
      </c>
      <c r="B56" s="698" t="str">
        <f t="shared" si="44"/>
        <v>Награждение участников мероприятий</v>
      </c>
      <c r="C56" s="853">
        <f t="shared" si="45"/>
        <v>0</v>
      </c>
      <c r="D56" s="854"/>
      <c r="E56" s="671"/>
      <c r="F56" s="681">
        <f t="shared" si="54"/>
        <v>16</v>
      </c>
      <c r="G56" s="700">
        <f t="shared" si="37"/>
        <v>0</v>
      </c>
      <c r="H56" s="683">
        <v>1</v>
      </c>
      <c r="I56" s="684">
        <f t="shared" si="46"/>
        <v>0</v>
      </c>
      <c r="J56" s="685">
        <f t="shared" si="38"/>
        <v>0</v>
      </c>
      <c r="K56" s="794"/>
      <c r="L56" s="595"/>
      <c r="M56" s="487">
        <f t="shared" si="47"/>
        <v>7</v>
      </c>
      <c r="N56" s="619" t="str">
        <f t="shared" si="48"/>
        <v>Награждение участников мероприятий</v>
      </c>
      <c r="O56" s="850">
        <f t="shared" si="49"/>
        <v>0</v>
      </c>
      <c r="P56" s="849"/>
      <c r="Q56" s="623"/>
      <c r="R56" s="603">
        <f t="shared" si="55"/>
        <v>4</v>
      </c>
      <c r="S56" s="621">
        <f t="shared" si="39"/>
        <v>0</v>
      </c>
      <c r="T56" s="605">
        <v>1</v>
      </c>
      <c r="U56" s="622">
        <f t="shared" si="50"/>
        <v>0</v>
      </c>
      <c r="V56" s="607">
        <f t="shared" si="40"/>
        <v>0</v>
      </c>
      <c r="W56" s="794"/>
      <c r="X56" s="487">
        <v>7</v>
      </c>
      <c r="Y56" s="352" t="s">
        <v>107</v>
      </c>
      <c r="Z56" s="824"/>
      <c r="AA56" s="825"/>
      <c r="AB56" s="488"/>
      <c r="AC56" s="409">
        <f t="shared" si="58"/>
        <v>4</v>
      </c>
      <c r="AD56" s="368">
        <f t="shared" si="41"/>
        <v>0</v>
      </c>
      <c r="AE56" s="403">
        <v>1</v>
      </c>
      <c r="AF56" s="532"/>
      <c r="AG56" s="406">
        <f t="shared" si="42"/>
        <v>0</v>
      </c>
      <c r="AH56" s="794"/>
      <c r="AI56" s="588">
        <f t="shared" si="51"/>
        <v>0</v>
      </c>
      <c r="AJ56" s="490">
        <f t="shared" si="52"/>
        <v>0</v>
      </c>
      <c r="AL56" s="492">
        <f t="shared" si="57"/>
        <v>0</v>
      </c>
      <c r="AO56" s="496"/>
    </row>
    <row r="57" spans="1:41" ht="15" customHeight="1" outlineLevel="2">
      <c r="A57" s="857" t="s">
        <v>44</v>
      </c>
      <c r="B57" s="858"/>
      <c r="C57" s="858"/>
      <c r="D57" s="858"/>
      <c r="E57" s="858"/>
      <c r="F57" s="858"/>
      <c r="G57" s="858"/>
      <c r="H57" s="858"/>
      <c r="I57" s="859"/>
      <c r="J57" s="697">
        <f>SUM(J50:J56)</f>
        <v>11916.666666666666</v>
      </c>
      <c r="K57" s="794"/>
      <c r="L57" s="22"/>
      <c r="M57" s="884" t="s">
        <v>44</v>
      </c>
      <c r="N57" s="885"/>
      <c r="O57" s="885"/>
      <c r="P57" s="885"/>
      <c r="Q57" s="885"/>
      <c r="R57" s="885"/>
      <c r="S57" s="885"/>
      <c r="T57" s="885"/>
      <c r="U57" s="886"/>
      <c r="V57" s="618">
        <f>SUM(V50:V56)</f>
        <v>11916.666666666666</v>
      </c>
      <c r="W57" s="794"/>
      <c r="X57" s="833" t="s">
        <v>44</v>
      </c>
      <c r="Y57" s="833"/>
      <c r="Z57" s="833"/>
      <c r="AA57" s="833"/>
      <c r="AB57" s="833"/>
      <c r="AC57" s="833"/>
      <c r="AD57" s="833"/>
      <c r="AE57" s="833"/>
      <c r="AF57" s="833"/>
      <c r="AG57" s="360">
        <f>SUM(AG50:AG56)</f>
        <v>1416.6666666666665</v>
      </c>
      <c r="AH57" s="794"/>
      <c r="AI57" s="482">
        <f>AG57*AC50+V57*R50+J57*F50</f>
        <v>244000</v>
      </c>
      <c r="AJ57" s="445">
        <f>SUM(AJ50:AJ56)</f>
        <v>244000</v>
      </c>
      <c r="AK57" s="417">
        <f>SUM(AK50:AK56)</f>
        <v>244000</v>
      </c>
      <c r="AO57" s="495"/>
    </row>
    <row r="58" spans="1:41" s="39" customFormat="1" ht="15.75" customHeight="1">
      <c r="A58" s="874" t="s">
        <v>108</v>
      </c>
      <c r="B58" s="874"/>
      <c r="C58" s="874"/>
      <c r="D58" s="874"/>
      <c r="E58" s="874"/>
      <c r="F58" s="874"/>
      <c r="G58" s="874"/>
      <c r="H58" s="874"/>
      <c r="I58" s="874"/>
      <c r="J58" s="345">
        <f>J57+J45+J14</f>
        <v>236787.08333333326</v>
      </c>
      <c r="K58" s="795"/>
      <c r="L58" s="100"/>
      <c r="M58" s="887" t="s">
        <v>108</v>
      </c>
      <c r="N58" s="887"/>
      <c r="O58" s="887"/>
      <c r="P58" s="887"/>
      <c r="Q58" s="887"/>
      <c r="R58" s="887"/>
      <c r="S58" s="887"/>
      <c r="T58" s="887"/>
      <c r="U58" s="887"/>
      <c r="V58" s="363">
        <f>V57+V45+V14</f>
        <v>249518.33333333326</v>
      </c>
      <c r="W58" s="795"/>
      <c r="X58" s="907" t="s">
        <v>108</v>
      </c>
      <c r="Y58" s="907"/>
      <c r="Z58" s="907"/>
      <c r="AA58" s="907"/>
      <c r="AB58" s="907"/>
      <c r="AC58" s="907"/>
      <c r="AD58" s="907"/>
      <c r="AE58" s="907"/>
      <c r="AF58" s="907"/>
      <c r="AG58" s="360">
        <f>AG57+AG45+AG14</f>
        <v>224333.33333333326</v>
      </c>
      <c r="AH58" s="795"/>
      <c r="AI58" s="574">
        <f>AJ57-AI57</f>
        <v>0</v>
      </c>
      <c r="AJ58" s="388">
        <f>AJ57+AJ45+AJ14</f>
        <v>5683999.9999999981</v>
      </c>
      <c r="AK58" s="576">
        <f>AK57-AJ57</f>
        <v>0</v>
      </c>
      <c r="AL58" s="423"/>
    </row>
    <row r="59" spans="1:41" s="349" customFormat="1" ht="76.5">
      <c r="A59" s="347" t="s">
        <v>9</v>
      </c>
      <c r="B59" s="347" t="s">
        <v>10</v>
      </c>
      <c r="C59" s="347" t="s">
        <v>28</v>
      </c>
      <c r="D59" s="347" t="s">
        <v>20</v>
      </c>
      <c r="E59" s="346" t="s">
        <v>2</v>
      </c>
      <c r="F59" s="347" t="s">
        <v>96</v>
      </c>
      <c r="G59" s="347" t="s">
        <v>55</v>
      </c>
      <c r="H59" s="347" t="s">
        <v>75</v>
      </c>
      <c r="I59" s="347" t="s">
        <v>23</v>
      </c>
      <c r="J59" s="701" t="s">
        <v>11</v>
      </c>
      <c r="K59" s="701" t="s">
        <v>45</v>
      </c>
      <c r="L59" s="348"/>
      <c r="M59" s="347" t="s">
        <v>9</v>
      </c>
      <c r="N59" s="347" t="s">
        <v>10</v>
      </c>
      <c r="O59" s="347" t="s">
        <v>28</v>
      </c>
      <c r="P59" s="347" t="s">
        <v>20</v>
      </c>
      <c r="Q59" s="346" t="s">
        <v>2</v>
      </c>
      <c r="R59" s="347" t="s">
        <v>96</v>
      </c>
      <c r="S59" s="347" t="s">
        <v>55</v>
      </c>
      <c r="T59" s="347" t="s">
        <v>75</v>
      </c>
      <c r="U59" s="347" t="s">
        <v>23</v>
      </c>
      <c r="V59" s="624" t="s">
        <v>11</v>
      </c>
      <c r="W59" s="624" t="s">
        <v>45</v>
      </c>
      <c r="X59" s="347" t="s">
        <v>9</v>
      </c>
      <c r="Y59" s="4" t="s">
        <v>10</v>
      </c>
      <c r="Z59" s="4" t="s">
        <v>28</v>
      </c>
      <c r="AA59" s="4" t="s">
        <v>20</v>
      </c>
      <c r="AB59" s="12" t="s">
        <v>2</v>
      </c>
      <c r="AC59" s="4" t="s">
        <v>96</v>
      </c>
      <c r="AD59" s="4" t="s">
        <v>55</v>
      </c>
      <c r="AE59" s="4" t="s">
        <v>75</v>
      </c>
      <c r="AF59" s="4" t="s">
        <v>23</v>
      </c>
      <c r="AG59" s="4" t="s">
        <v>11</v>
      </c>
      <c r="AH59" s="4" t="s">
        <v>45</v>
      </c>
      <c r="AI59" s="348"/>
      <c r="AJ59" s="456"/>
      <c r="AL59" s="427"/>
    </row>
    <row r="60" spans="1:41" s="349" customFormat="1" ht="14.25">
      <c r="A60" s="701">
        <v>1</v>
      </c>
      <c r="B60" s="701">
        <v>1</v>
      </c>
      <c r="C60" s="701">
        <v>2</v>
      </c>
      <c r="D60" s="701">
        <v>3</v>
      </c>
      <c r="E60" s="701">
        <v>4</v>
      </c>
      <c r="F60" s="701">
        <v>5</v>
      </c>
      <c r="G60" s="701" t="s">
        <v>64</v>
      </c>
      <c r="H60" s="701">
        <v>7</v>
      </c>
      <c r="I60" s="701">
        <v>8</v>
      </c>
      <c r="J60" s="701" t="s">
        <v>111</v>
      </c>
      <c r="K60" s="701">
        <v>10</v>
      </c>
      <c r="L60" s="348"/>
      <c r="M60" s="624">
        <v>1</v>
      </c>
      <c r="N60" s="624">
        <v>1</v>
      </c>
      <c r="O60" s="624">
        <v>2</v>
      </c>
      <c r="P60" s="624">
        <v>3</v>
      </c>
      <c r="Q60" s="624">
        <v>4</v>
      </c>
      <c r="R60" s="624">
        <v>5</v>
      </c>
      <c r="S60" s="624" t="s">
        <v>64</v>
      </c>
      <c r="T60" s="624">
        <v>7</v>
      </c>
      <c r="U60" s="624">
        <v>8</v>
      </c>
      <c r="V60" s="624" t="s">
        <v>111</v>
      </c>
      <c r="W60" s="624"/>
      <c r="X60" s="4">
        <v>1</v>
      </c>
      <c r="Y60" s="4">
        <v>1</v>
      </c>
      <c r="Z60" s="4">
        <v>2</v>
      </c>
      <c r="AA60" s="4">
        <v>3</v>
      </c>
      <c r="AB60" s="4">
        <v>4</v>
      </c>
      <c r="AC60" s="4">
        <v>5</v>
      </c>
      <c r="AD60" s="4" t="s">
        <v>64</v>
      </c>
      <c r="AE60" s="4">
        <v>7</v>
      </c>
      <c r="AF60" s="4">
        <v>8</v>
      </c>
      <c r="AG60" s="4" t="s">
        <v>111</v>
      </c>
      <c r="AH60" s="4">
        <v>10</v>
      </c>
      <c r="AI60" s="348"/>
      <c r="AJ60" s="456"/>
      <c r="AL60" s="427"/>
    </row>
    <row r="61" spans="1:41" ht="15" customHeight="1">
      <c r="A61" s="871" t="s">
        <v>12</v>
      </c>
      <c r="B61" s="872"/>
      <c r="C61" s="872"/>
      <c r="D61" s="872"/>
      <c r="E61" s="872"/>
      <c r="F61" s="872"/>
      <c r="G61" s="872"/>
      <c r="H61" s="872"/>
      <c r="I61" s="872"/>
      <c r="J61" s="872"/>
      <c r="K61" s="873"/>
      <c r="L61" s="594"/>
      <c r="M61" s="871" t="s">
        <v>12</v>
      </c>
      <c r="N61" s="872"/>
      <c r="O61" s="872"/>
      <c r="P61" s="872"/>
      <c r="Q61" s="872"/>
      <c r="R61" s="872"/>
      <c r="S61" s="872"/>
      <c r="T61" s="872"/>
      <c r="U61" s="872"/>
      <c r="V61" s="872"/>
      <c r="W61" s="873"/>
      <c r="X61" s="806" t="s">
        <v>12</v>
      </c>
      <c r="Y61" s="819"/>
      <c r="Z61" s="807"/>
      <c r="AA61" s="807"/>
      <c r="AB61" s="807"/>
      <c r="AC61" s="807"/>
      <c r="AD61" s="807"/>
      <c r="AE61" s="807"/>
      <c r="AF61" s="807"/>
      <c r="AG61" s="819"/>
      <c r="AH61" s="808"/>
      <c r="AI61" s="332"/>
      <c r="AJ61" s="457"/>
      <c r="AK61" s="329" t="s">
        <v>340</v>
      </c>
    </row>
    <row r="62" spans="1:41">
      <c r="A62" s="702">
        <f>M62</f>
        <v>1</v>
      </c>
      <c r="B62" s="703" t="str">
        <f>N62</f>
        <v>Электроэнергия 1</v>
      </c>
      <c r="C62" s="704" t="str">
        <f>O62</f>
        <v>кВт час.</v>
      </c>
      <c r="D62" s="663">
        <f>AI62/20*E62</f>
        <v>4416.7998609283195</v>
      </c>
      <c r="E62" s="705">
        <f>F56</f>
        <v>16</v>
      </c>
      <c r="F62" s="706">
        <v>1</v>
      </c>
      <c r="G62" s="707">
        <f>D62*F62/E62</f>
        <v>276.04999130801997</v>
      </c>
      <c r="H62" s="708">
        <f>T62</f>
        <v>8.0533999999999999</v>
      </c>
      <c r="I62" s="593"/>
      <c r="J62" s="709">
        <f>H62*G62</f>
        <v>2223.1410000000078</v>
      </c>
      <c r="K62" s="875"/>
      <c r="L62" s="333"/>
      <c r="M62" s="625">
        <f>X62</f>
        <v>1</v>
      </c>
      <c r="N62" s="626" t="str">
        <f>Y62</f>
        <v>Электроэнергия 1</v>
      </c>
      <c r="O62" s="612" t="str">
        <f>Z62</f>
        <v>кВт час.</v>
      </c>
      <c r="P62" s="627">
        <f>AI62/20*Q62</f>
        <v>1104.1999652320799</v>
      </c>
      <c r="Q62" s="628">
        <f>R56</f>
        <v>4</v>
      </c>
      <c r="R62" s="629">
        <v>1</v>
      </c>
      <c r="S62" s="630">
        <f>P62*R62/Q62</f>
        <v>276.04999130801997</v>
      </c>
      <c r="T62" s="631">
        <f>AE62</f>
        <v>8.0533999999999999</v>
      </c>
      <c r="U62" s="632"/>
      <c r="V62" s="633">
        <f>T62*S62</f>
        <v>2223.1410000000078</v>
      </c>
      <c r="W62" s="875"/>
      <c r="X62" s="376">
        <v>1</v>
      </c>
      <c r="Y62" s="380" t="s">
        <v>16</v>
      </c>
      <c r="Z62" s="385" t="s">
        <v>47</v>
      </c>
      <c r="AA62" s="377"/>
      <c r="AB62" s="378">
        <f>AC50</f>
        <v>4</v>
      </c>
      <c r="AC62" s="379">
        <v>1</v>
      </c>
      <c r="AD62" s="343"/>
      <c r="AE62" s="542">
        <v>8.0533999999999999</v>
      </c>
      <c r="AF62" s="353"/>
      <c r="AG62" s="359">
        <f>IFERROR(AE62*AD62,0)</f>
        <v>0</v>
      </c>
      <c r="AH62" s="914"/>
      <c r="AI62" s="333">
        <v>5520.9998261603996</v>
      </c>
      <c r="AJ62" s="458">
        <f>AG62*AB62+V62*Q62+J62*E62</f>
        <v>44462.820000000153</v>
      </c>
      <c r="AK62" s="17">
        <f>AA62+P62+D62</f>
        <v>5520.9998261603996</v>
      </c>
      <c r="AL62" s="433">
        <v>44462.82</v>
      </c>
      <c r="AM62" s="587">
        <f>AL62-AJ62</f>
        <v>-1.5279510989785194E-10</v>
      </c>
    </row>
    <row r="63" spans="1:41">
      <c r="A63" s="702">
        <f t="shared" ref="A63:A66" si="59">M63</f>
        <v>2</v>
      </c>
      <c r="B63" s="703" t="str">
        <f t="shared" ref="B63:B66" si="60">N63</f>
        <v>Теплоэнергия</v>
      </c>
      <c r="C63" s="704" t="str">
        <f t="shared" ref="C63:C66" si="61">O63</f>
        <v>Ккал</v>
      </c>
      <c r="D63" s="663">
        <f>AI63/20*E63</f>
        <v>86.304000193992792</v>
      </c>
      <c r="E63" s="705">
        <f>E62</f>
        <v>16</v>
      </c>
      <c r="F63" s="706">
        <v>1</v>
      </c>
      <c r="G63" s="707">
        <f>D63*F63/E63</f>
        <v>5.3940000121245495</v>
      </c>
      <c r="H63" s="708">
        <f t="shared" ref="H63:H66" si="62">T63</f>
        <v>3299.09</v>
      </c>
      <c r="I63" s="593"/>
      <c r="J63" s="709">
        <f>H63*G63</f>
        <v>17795.291499999981</v>
      </c>
      <c r="K63" s="876"/>
      <c r="L63" s="333"/>
      <c r="M63" s="625">
        <f t="shared" ref="M63:M66" si="63">X63</f>
        <v>2</v>
      </c>
      <c r="N63" s="626" t="str">
        <f t="shared" ref="N63:N66" si="64">Y63</f>
        <v>Теплоэнергия</v>
      </c>
      <c r="O63" s="612" t="str">
        <f t="shared" ref="O63:O66" si="65">Z63</f>
        <v>Ккал</v>
      </c>
      <c r="P63" s="627">
        <f>AI63/20*Q63</f>
        <v>21.576000048498198</v>
      </c>
      <c r="Q63" s="628">
        <f>Q62</f>
        <v>4</v>
      </c>
      <c r="R63" s="629">
        <v>1</v>
      </c>
      <c r="S63" s="630">
        <f>P63*R63/Q63</f>
        <v>5.3940000121245495</v>
      </c>
      <c r="T63" s="631">
        <f t="shared" ref="T63:T66" si="66">AE63</f>
        <v>3299.09</v>
      </c>
      <c r="U63" s="632"/>
      <c r="V63" s="633">
        <f>T63*S63</f>
        <v>17795.291499999981</v>
      </c>
      <c r="W63" s="876"/>
      <c r="X63" s="376">
        <v>2</v>
      </c>
      <c r="Y63" s="380" t="s">
        <v>13</v>
      </c>
      <c r="Z63" s="385" t="s">
        <v>48</v>
      </c>
      <c r="AA63" s="377"/>
      <c r="AB63" s="378">
        <f>AB62</f>
        <v>4</v>
      </c>
      <c r="AC63" s="379">
        <v>1</v>
      </c>
      <c r="AD63" s="343"/>
      <c r="AE63" s="542">
        <v>3299.09</v>
      </c>
      <c r="AF63" s="353"/>
      <c r="AG63" s="359">
        <f t="shared" ref="AG63:AG66" si="67">IFERROR(AE63*AD63,0)</f>
        <v>0</v>
      </c>
      <c r="AH63" s="915"/>
      <c r="AI63" s="333">
        <v>107.88000024249099</v>
      </c>
      <c r="AJ63" s="458">
        <f t="shared" ref="AJ63:AJ66" si="68">AG63*AB63+V63*Q63+J63*E63</f>
        <v>355905.82999999961</v>
      </c>
      <c r="AK63" s="17">
        <f t="shared" ref="AK63:AK66" si="69">AA63+P63+D63</f>
        <v>107.88000024249099</v>
      </c>
      <c r="AL63" s="433">
        <v>355905.83</v>
      </c>
      <c r="AM63" s="587">
        <f t="shared" ref="AM63:AM66" si="70">AL63-AJ63</f>
        <v>0</v>
      </c>
    </row>
    <row r="64" spans="1:41" ht="18">
      <c r="A64" s="702">
        <f t="shared" si="59"/>
        <v>3</v>
      </c>
      <c r="B64" s="703" t="str">
        <f t="shared" si="60"/>
        <v>Водоснабжение</v>
      </c>
      <c r="C64" s="704" t="str">
        <f t="shared" si="61"/>
        <v>м3</v>
      </c>
      <c r="D64" s="663">
        <f>AI64/20*E64</f>
        <v>127.13605973188001</v>
      </c>
      <c r="E64" s="705">
        <f t="shared" ref="E64:E65" si="71">E63</f>
        <v>16</v>
      </c>
      <c r="F64" s="706">
        <v>1</v>
      </c>
      <c r="G64" s="707">
        <f>D64*F64/E64</f>
        <v>7.9460037332425006</v>
      </c>
      <c r="H64" s="708">
        <f t="shared" si="62"/>
        <v>58.93</v>
      </c>
      <c r="I64" s="593"/>
      <c r="J64" s="709">
        <f>H64*G64</f>
        <v>468.25799999998054</v>
      </c>
      <c r="K64" s="876"/>
      <c r="L64" s="333"/>
      <c r="M64" s="625">
        <f t="shared" si="63"/>
        <v>3</v>
      </c>
      <c r="N64" s="626" t="str">
        <f t="shared" si="64"/>
        <v>Водоснабжение</v>
      </c>
      <c r="O64" s="612" t="str">
        <f t="shared" si="65"/>
        <v>м3</v>
      </c>
      <c r="P64" s="627">
        <f>AI64/20*Q64</f>
        <v>31.784014932970003</v>
      </c>
      <c r="Q64" s="628">
        <f t="shared" ref="Q64:Q65" si="72">Q63</f>
        <v>4</v>
      </c>
      <c r="R64" s="629">
        <v>1</v>
      </c>
      <c r="S64" s="630">
        <f>P64*R64/Q64</f>
        <v>7.9460037332425006</v>
      </c>
      <c r="T64" s="631">
        <f t="shared" si="66"/>
        <v>58.93</v>
      </c>
      <c r="U64" s="632"/>
      <c r="V64" s="633">
        <f>T64*S64</f>
        <v>468.25799999998054</v>
      </c>
      <c r="W64" s="876"/>
      <c r="X64" s="376">
        <v>3</v>
      </c>
      <c r="Y64" s="380" t="s">
        <v>338</v>
      </c>
      <c r="Z64" s="385" t="s">
        <v>290</v>
      </c>
      <c r="AA64" s="377"/>
      <c r="AB64" s="378">
        <f t="shared" ref="AB64:AB65" si="73">AB63</f>
        <v>4</v>
      </c>
      <c r="AC64" s="379">
        <v>1</v>
      </c>
      <c r="AD64" s="343"/>
      <c r="AE64" s="542">
        <v>58.93</v>
      </c>
      <c r="AF64" s="353"/>
      <c r="AG64" s="359">
        <f t="shared" si="67"/>
        <v>0</v>
      </c>
      <c r="AH64" s="915"/>
      <c r="AI64" s="333">
        <v>158.92007466485001</v>
      </c>
      <c r="AJ64" s="458">
        <f t="shared" si="68"/>
        <v>9365.1599999996106</v>
      </c>
      <c r="AK64" s="17">
        <f t="shared" si="69"/>
        <v>158.92007466485001</v>
      </c>
      <c r="AL64" s="433">
        <v>9365.16</v>
      </c>
      <c r="AM64" s="587">
        <f t="shared" si="70"/>
        <v>3.8926373235881329E-10</v>
      </c>
    </row>
    <row r="65" spans="1:39" s="329" customFormat="1" ht="18">
      <c r="A65" s="702">
        <f t="shared" si="59"/>
        <v>4</v>
      </c>
      <c r="B65" s="703" t="str">
        <f t="shared" si="60"/>
        <v>ТКО</v>
      </c>
      <c r="C65" s="704" t="str">
        <f t="shared" si="61"/>
        <v>м3</v>
      </c>
      <c r="D65" s="663">
        <f>AI65/20*E65</f>
        <v>0.76799858243999997</v>
      </c>
      <c r="E65" s="705">
        <f t="shared" si="71"/>
        <v>16</v>
      </c>
      <c r="F65" s="706">
        <v>1</v>
      </c>
      <c r="G65" s="707">
        <f>D65*F65/E65</f>
        <v>4.7999911402499998E-2</v>
      </c>
      <c r="H65" s="708">
        <f t="shared" ref="H65" si="74">T65</f>
        <v>2257.4</v>
      </c>
      <c r="I65" s="593"/>
      <c r="J65" s="709">
        <f>H65*G65</f>
        <v>108.3550000000035</v>
      </c>
      <c r="K65" s="876"/>
      <c r="L65" s="333"/>
      <c r="M65" s="625">
        <f t="shared" si="63"/>
        <v>4</v>
      </c>
      <c r="N65" s="626" t="str">
        <f t="shared" si="64"/>
        <v>ТКО</v>
      </c>
      <c r="O65" s="612" t="str">
        <f t="shared" si="65"/>
        <v>м3</v>
      </c>
      <c r="P65" s="627">
        <f>AI65/20*Q65</f>
        <v>0.19199964560999999</v>
      </c>
      <c r="Q65" s="628">
        <f t="shared" si="72"/>
        <v>4</v>
      </c>
      <c r="R65" s="629">
        <v>1</v>
      </c>
      <c r="S65" s="630">
        <f>P65*R65/Q65</f>
        <v>4.7999911402499998E-2</v>
      </c>
      <c r="T65" s="631">
        <f t="shared" si="66"/>
        <v>2257.4</v>
      </c>
      <c r="U65" s="632"/>
      <c r="V65" s="633">
        <f>T65*S65</f>
        <v>108.3550000000035</v>
      </c>
      <c r="W65" s="876"/>
      <c r="X65" s="376">
        <v>4</v>
      </c>
      <c r="Y65" s="419" t="s">
        <v>304</v>
      </c>
      <c r="Z65" s="385" t="s">
        <v>290</v>
      </c>
      <c r="AA65" s="420"/>
      <c r="AB65" s="378">
        <f t="shared" si="73"/>
        <v>4</v>
      </c>
      <c r="AC65" s="379">
        <v>1</v>
      </c>
      <c r="AD65" s="343"/>
      <c r="AE65" s="542">
        <v>2257.4</v>
      </c>
      <c r="AF65" s="421"/>
      <c r="AG65" s="359">
        <f t="shared" si="67"/>
        <v>0</v>
      </c>
      <c r="AH65" s="915"/>
      <c r="AI65" s="333">
        <v>0.95999822805000001</v>
      </c>
      <c r="AJ65" s="458">
        <f t="shared" si="68"/>
        <v>2167.1000000000699</v>
      </c>
      <c r="AK65" s="17">
        <f t="shared" si="69"/>
        <v>0.9599982280499999</v>
      </c>
      <c r="AL65" s="433">
        <v>2167.1</v>
      </c>
      <c r="AM65" s="587">
        <f t="shared" si="70"/>
        <v>-7.0031092036515474E-11</v>
      </c>
    </row>
    <row r="66" spans="1:39" ht="18" customHeight="1" thickBot="1">
      <c r="A66" s="702">
        <f t="shared" si="59"/>
        <v>5</v>
      </c>
      <c r="B66" s="703" t="str">
        <f t="shared" si="60"/>
        <v>Водоотведение</v>
      </c>
      <c r="C66" s="704" t="str">
        <f t="shared" si="61"/>
        <v>кол-во машин</v>
      </c>
      <c r="D66" s="663">
        <f>AI66/20*E66</f>
        <v>7.2</v>
      </c>
      <c r="E66" s="705">
        <f>E64</f>
        <v>16</v>
      </c>
      <c r="F66" s="706">
        <v>1</v>
      </c>
      <c r="G66" s="707">
        <f t="shared" ref="G66" si="75">D66*F66/E66</f>
        <v>0.45</v>
      </c>
      <c r="H66" s="708">
        <f t="shared" si="62"/>
        <v>2626.23</v>
      </c>
      <c r="I66" s="593"/>
      <c r="J66" s="709">
        <f>H66*G66</f>
        <v>1181.8035</v>
      </c>
      <c r="K66" s="876"/>
      <c r="L66" s="333"/>
      <c r="M66" s="625">
        <f t="shared" si="63"/>
        <v>5</v>
      </c>
      <c r="N66" s="626" t="str">
        <f t="shared" si="64"/>
        <v>Водоотведение</v>
      </c>
      <c r="O66" s="612" t="str">
        <f t="shared" si="65"/>
        <v>кол-во машин</v>
      </c>
      <c r="P66" s="627">
        <f>AI66/20*Q66</f>
        <v>1.8</v>
      </c>
      <c r="Q66" s="628">
        <f>Q64</f>
        <v>4</v>
      </c>
      <c r="R66" s="629">
        <v>1</v>
      </c>
      <c r="S66" s="630">
        <f t="shared" ref="S66" si="76">P66*R66/Q66</f>
        <v>0.45</v>
      </c>
      <c r="T66" s="631">
        <f t="shared" si="66"/>
        <v>2626.23</v>
      </c>
      <c r="U66" s="632"/>
      <c r="V66" s="633">
        <f>T66*S66</f>
        <v>1181.8035</v>
      </c>
      <c r="W66" s="876"/>
      <c r="X66" s="376">
        <v>5</v>
      </c>
      <c r="Y66" s="380" t="s">
        <v>15</v>
      </c>
      <c r="Z66" s="385" t="s">
        <v>339</v>
      </c>
      <c r="AA66" s="377"/>
      <c r="AB66" s="378">
        <f>AB64</f>
        <v>4</v>
      </c>
      <c r="AC66" s="379">
        <v>1</v>
      </c>
      <c r="AD66" s="343"/>
      <c r="AE66" s="542">
        <v>2626.23</v>
      </c>
      <c r="AF66" s="353"/>
      <c r="AG66" s="359">
        <f t="shared" si="67"/>
        <v>0</v>
      </c>
      <c r="AH66" s="915"/>
      <c r="AI66" s="333">
        <v>9</v>
      </c>
      <c r="AJ66" s="458">
        <f t="shared" si="68"/>
        <v>23636.07</v>
      </c>
      <c r="AK66" s="17">
        <f t="shared" si="69"/>
        <v>9</v>
      </c>
      <c r="AL66" s="433">
        <v>23636.07</v>
      </c>
      <c r="AM66" s="587">
        <f t="shared" si="70"/>
        <v>0</v>
      </c>
    </row>
    <row r="67" spans="1:39" ht="16.5" thickBot="1">
      <c r="A67" s="861" t="s">
        <v>27</v>
      </c>
      <c r="B67" s="862"/>
      <c r="C67" s="862"/>
      <c r="D67" s="862"/>
      <c r="E67" s="862"/>
      <c r="F67" s="862"/>
      <c r="G67" s="862"/>
      <c r="H67" s="862"/>
      <c r="I67" s="863"/>
      <c r="J67" s="710">
        <f>SUM(J62:J66)</f>
        <v>21776.848999999973</v>
      </c>
      <c r="K67" s="877"/>
      <c r="L67" s="333"/>
      <c r="M67" s="881" t="s">
        <v>27</v>
      </c>
      <c r="N67" s="882"/>
      <c r="O67" s="882"/>
      <c r="P67" s="882"/>
      <c r="Q67" s="882"/>
      <c r="R67" s="882"/>
      <c r="S67" s="882"/>
      <c r="T67" s="882"/>
      <c r="U67" s="883"/>
      <c r="V67" s="634">
        <f>SUM(V62:V66)</f>
        <v>21776.848999999973</v>
      </c>
      <c r="W67" s="877"/>
      <c r="X67" s="911" t="s">
        <v>27</v>
      </c>
      <c r="Y67" s="911"/>
      <c r="Z67" s="911"/>
      <c r="AA67" s="911"/>
      <c r="AB67" s="911"/>
      <c r="AC67" s="911"/>
      <c r="AD67" s="911"/>
      <c r="AE67" s="911"/>
      <c r="AF67" s="911"/>
      <c r="AG67" s="381">
        <f>SUM(AG62:AG66)</f>
        <v>0</v>
      </c>
      <c r="AH67" s="916"/>
      <c r="AI67" s="333"/>
      <c r="AJ67" s="459">
        <f>SUM(AJ62:AJ66)</f>
        <v>435536.97999999952</v>
      </c>
      <c r="AK67" s="434">
        <f>AD150</f>
        <v>435536.98</v>
      </c>
      <c r="AL67" s="50">
        <f>SUM(AL62:AL66)</f>
        <v>435536.98</v>
      </c>
      <c r="AM67" s="56">
        <v>223</v>
      </c>
    </row>
    <row r="68" spans="1:39" ht="15" customHeight="1">
      <c r="A68" s="871" t="s">
        <v>68</v>
      </c>
      <c r="B68" s="872"/>
      <c r="C68" s="872"/>
      <c r="D68" s="872"/>
      <c r="E68" s="872"/>
      <c r="F68" s="872"/>
      <c r="G68" s="872"/>
      <c r="H68" s="872"/>
      <c r="I68" s="872"/>
      <c r="J68" s="872"/>
      <c r="K68" s="873"/>
      <c r="L68" s="594"/>
      <c r="M68" s="871" t="s">
        <v>68</v>
      </c>
      <c r="N68" s="872"/>
      <c r="O68" s="872"/>
      <c r="P68" s="872"/>
      <c r="Q68" s="872"/>
      <c r="R68" s="872"/>
      <c r="S68" s="872"/>
      <c r="T68" s="872"/>
      <c r="U68" s="872"/>
      <c r="V68" s="872"/>
      <c r="W68" s="873"/>
      <c r="X68" s="919" t="s">
        <v>68</v>
      </c>
      <c r="Y68" s="920"/>
      <c r="Z68" s="921"/>
      <c r="AA68" s="921"/>
      <c r="AB68" s="921"/>
      <c r="AC68" s="921"/>
      <c r="AD68" s="921"/>
      <c r="AE68" s="921"/>
      <c r="AF68" s="921"/>
      <c r="AG68" s="920"/>
      <c r="AH68" s="922"/>
      <c r="AI68" s="332"/>
      <c r="AJ68" s="460"/>
      <c r="AK68" s="469">
        <f>AK67-AJ67</f>
        <v>4.6566128730773926E-10</v>
      </c>
    </row>
    <row r="69" spans="1:39" s="404" customFormat="1" ht="60.75" thickBot="1">
      <c r="A69" s="520">
        <f>M69</f>
        <v>1</v>
      </c>
      <c r="B69" s="519" t="str">
        <f>N69</f>
        <v>Техническое обслуживание и регламентно-профилактический ремонт систем охранно-пожарной сигнализации</v>
      </c>
      <c r="C69" s="711" t="str">
        <f>O69</f>
        <v>договор</v>
      </c>
      <c r="D69" s="712">
        <f t="shared" ref="D69:D78" si="77">1/20*E69</f>
        <v>0.8</v>
      </c>
      <c r="E69" s="515">
        <f>E66</f>
        <v>16</v>
      </c>
      <c r="F69" s="516">
        <v>1</v>
      </c>
      <c r="G69" s="517">
        <f>D69*F69/E69</f>
        <v>0.05</v>
      </c>
      <c r="H69" s="713">
        <f>T69</f>
        <v>65765.100000000006</v>
      </c>
      <c r="I69" s="518"/>
      <c r="J69" s="526">
        <f>H69*G69</f>
        <v>3288.2550000000006</v>
      </c>
      <c r="K69" s="875"/>
      <c r="L69" s="597"/>
      <c r="M69" s="635">
        <f>X69</f>
        <v>1</v>
      </c>
      <c r="N69" s="636" t="str">
        <f>Y69</f>
        <v>Техническое обслуживание и регламентно-профилактический ремонт систем охранно-пожарной сигнализации</v>
      </c>
      <c r="O69" s="637" t="str">
        <f>Z69</f>
        <v>договор</v>
      </c>
      <c r="P69" s="638">
        <f t="shared" ref="P69:P78" si="78">1/20*Q69</f>
        <v>0.2</v>
      </c>
      <c r="Q69" s="623">
        <f>Q66</f>
        <v>4</v>
      </c>
      <c r="R69" s="639">
        <v>1</v>
      </c>
      <c r="S69" s="640">
        <f>P69*R69/Q69</f>
        <v>0.05</v>
      </c>
      <c r="T69" s="641">
        <f>AE69</f>
        <v>65765.100000000006</v>
      </c>
      <c r="U69" s="603"/>
      <c r="V69" s="642">
        <f>T69*S69</f>
        <v>3288.2550000000006</v>
      </c>
      <c r="W69" s="875"/>
      <c r="X69" s="498">
        <v>1</v>
      </c>
      <c r="Y69" s="405" t="s">
        <v>341</v>
      </c>
      <c r="Z69" s="502" t="s">
        <v>53</v>
      </c>
      <c r="AA69" s="499"/>
      <c r="AB69" s="504">
        <f>AB66</f>
        <v>4</v>
      </c>
      <c r="AC69" s="500">
        <v>1</v>
      </c>
      <c r="AD69" s="501"/>
      <c r="AE69" s="543">
        <v>65765.100000000006</v>
      </c>
      <c r="AF69" s="503"/>
      <c r="AG69" s="406">
        <f>AE69*AD69</f>
        <v>0</v>
      </c>
      <c r="AH69" s="875"/>
      <c r="AI69" s="505">
        <f>AA69+P69+D69</f>
        <v>1</v>
      </c>
      <c r="AJ69" s="506">
        <f>AG69*AB69+V69*Q69+J69*E69</f>
        <v>65765.100000000006</v>
      </c>
      <c r="AK69" s="507">
        <v>65765.100000000006</v>
      </c>
      <c r="AL69" s="494">
        <f t="shared" ref="AL69:AL71" si="79">AK69-AJ69</f>
        <v>0</v>
      </c>
    </row>
    <row r="70" spans="1:39" s="404" customFormat="1" ht="16.5" thickBot="1">
      <c r="A70" s="520">
        <f t="shared" ref="A70:A78" si="80">M70</f>
        <v>2</v>
      </c>
      <c r="B70" s="519" t="str">
        <f t="shared" ref="B70:B78" si="81">N70</f>
        <v>Проведение текущего ремонта</v>
      </c>
      <c r="C70" s="711" t="str">
        <f t="shared" ref="C70:C78" si="82">O70</f>
        <v>договор</v>
      </c>
      <c r="D70" s="712">
        <f t="shared" si="77"/>
        <v>0.8</v>
      </c>
      <c r="E70" s="515">
        <f>E69</f>
        <v>16</v>
      </c>
      <c r="F70" s="516">
        <v>1</v>
      </c>
      <c r="G70" s="517">
        <f>D70*F70/E70</f>
        <v>0.05</v>
      </c>
      <c r="H70" s="713">
        <f t="shared" ref="H70:H76" si="83">T70</f>
        <v>0</v>
      </c>
      <c r="I70" s="518"/>
      <c r="J70" s="526">
        <f t="shared" ref="J70:J77" si="84">H70*G70</f>
        <v>0</v>
      </c>
      <c r="K70" s="876"/>
      <c r="L70" s="597"/>
      <c r="M70" s="635">
        <f t="shared" ref="M70:M78" si="85">X70</f>
        <v>2</v>
      </c>
      <c r="N70" s="636" t="str">
        <f t="shared" ref="N70:N78" si="86">Y70</f>
        <v>Проведение текущего ремонта</v>
      </c>
      <c r="O70" s="637" t="str">
        <f t="shared" ref="O70:O78" si="87">Z70</f>
        <v>договор</v>
      </c>
      <c r="P70" s="638">
        <f t="shared" si="78"/>
        <v>0.2</v>
      </c>
      <c r="Q70" s="623">
        <f>Q69</f>
        <v>4</v>
      </c>
      <c r="R70" s="639">
        <v>1</v>
      </c>
      <c r="S70" s="640">
        <f>P70*R70/Q70</f>
        <v>0.05</v>
      </c>
      <c r="T70" s="641">
        <f t="shared" ref="T70:T78" si="88">AE70</f>
        <v>0</v>
      </c>
      <c r="U70" s="603"/>
      <c r="V70" s="642">
        <f t="shared" ref="V70:V76" si="89">T70*S70</f>
        <v>0</v>
      </c>
      <c r="W70" s="876"/>
      <c r="X70" s="498">
        <v>2</v>
      </c>
      <c r="Y70" s="405" t="s">
        <v>18</v>
      </c>
      <c r="Z70" s="502" t="s">
        <v>53</v>
      </c>
      <c r="AA70" s="499"/>
      <c r="AB70" s="504">
        <f>AB69</f>
        <v>4</v>
      </c>
      <c r="AC70" s="500">
        <v>1</v>
      </c>
      <c r="AD70" s="501"/>
      <c r="AE70" s="543">
        <v>0</v>
      </c>
      <c r="AF70" s="503"/>
      <c r="AG70" s="406">
        <f t="shared" ref="AG70:AG77" si="90">AE70*AD70</f>
        <v>0</v>
      </c>
      <c r="AH70" s="876"/>
      <c r="AI70" s="505">
        <f t="shared" ref="AI70:AI78" si="91">AA70+P70+D70</f>
        <v>1</v>
      </c>
      <c r="AJ70" s="506">
        <f t="shared" ref="AJ70:AJ78" si="92">AG70*AB70+V70*Q70+J70*E70</f>
        <v>0</v>
      </c>
      <c r="AK70" s="507">
        <v>0</v>
      </c>
      <c r="AL70" s="494">
        <f t="shared" si="79"/>
        <v>0</v>
      </c>
      <c r="AM70" s="508">
        <v>340</v>
      </c>
    </row>
    <row r="71" spans="1:39" s="404" customFormat="1" ht="15.75">
      <c r="A71" s="520">
        <f t="shared" si="80"/>
        <v>3</v>
      </c>
      <c r="B71" s="519" t="str">
        <f t="shared" si="81"/>
        <v>Поверка тепловодосчетчиков</v>
      </c>
      <c r="C71" s="711" t="str">
        <f t="shared" si="82"/>
        <v>договор</v>
      </c>
      <c r="D71" s="712">
        <f t="shared" si="77"/>
        <v>0.8</v>
      </c>
      <c r="E71" s="515">
        <f t="shared" ref="E71:E78" si="93">E70</f>
        <v>16</v>
      </c>
      <c r="F71" s="516">
        <v>1</v>
      </c>
      <c r="G71" s="517">
        <f t="shared" ref="G71:G77" si="94">D71*F71/E71</f>
        <v>0.05</v>
      </c>
      <c r="H71" s="713">
        <f t="shared" si="83"/>
        <v>25000</v>
      </c>
      <c r="I71" s="518"/>
      <c r="J71" s="526">
        <f t="shared" si="84"/>
        <v>1250</v>
      </c>
      <c r="K71" s="876"/>
      <c r="L71" s="597"/>
      <c r="M71" s="635">
        <f t="shared" si="85"/>
        <v>3</v>
      </c>
      <c r="N71" s="636" t="str">
        <f t="shared" si="86"/>
        <v>Поверка тепловодосчетчиков</v>
      </c>
      <c r="O71" s="637" t="str">
        <f t="shared" si="87"/>
        <v>договор</v>
      </c>
      <c r="P71" s="638">
        <f t="shared" si="78"/>
        <v>0.2</v>
      </c>
      <c r="Q71" s="623">
        <f t="shared" ref="Q71:Q76" si="95">Q70</f>
        <v>4</v>
      </c>
      <c r="R71" s="639">
        <v>1</v>
      </c>
      <c r="S71" s="640">
        <f t="shared" ref="S71:S76" si="96">P71*R71/Q71</f>
        <v>0.05</v>
      </c>
      <c r="T71" s="641">
        <f t="shared" si="88"/>
        <v>25000</v>
      </c>
      <c r="U71" s="603"/>
      <c r="V71" s="642">
        <f t="shared" si="89"/>
        <v>1250</v>
      </c>
      <c r="W71" s="876"/>
      <c r="X71" s="509">
        <v>3</v>
      </c>
      <c r="Y71" s="512" t="s">
        <v>161</v>
      </c>
      <c r="Z71" s="502" t="s">
        <v>53</v>
      </c>
      <c r="AA71" s="499"/>
      <c r="AB71" s="504">
        <f t="shared" ref="AB71:AB78" si="97">AB70</f>
        <v>4</v>
      </c>
      <c r="AC71" s="500">
        <v>1</v>
      </c>
      <c r="AD71" s="501"/>
      <c r="AE71" s="544">
        <v>25000</v>
      </c>
      <c r="AF71" s="510"/>
      <c r="AG71" s="406">
        <f t="shared" si="90"/>
        <v>0</v>
      </c>
      <c r="AH71" s="876"/>
      <c r="AI71" s="505">
        <f t="shared" si="91"/>
        <v>1</v>
      </c>
      <c r="AJ71" s="506">
        <f t="shared" si="92"/>
        <v>25000</v>
      </c>
      <c r="AK71" s="507">
        <v>25000</v>
      </c>
      <c r="AL71" s="494">
        <f t="shared" si="79"/>
        <v>0</v>
      </c>
      <c r="AM71" s="513"/>
    </row>
    <row r="72" spans="1:39" s="404" customFormat="1" ht="45">
      <c r="A72" s="520">
        <f t="shared" si="80"/>
        <v>4</v>
      </c>
      <c r="B72" s="519" t="str">
        <f t="shared" si="81"/>
        <v>Годовое техобслуживание узлов учета тепло-водоснабжения (ООО Теплоучет)</v>
      </c>
      <c r="C72" s="711" t="str">
        <f t="shared" si="82"/>
        <v>договор</v>
      </c>
      <c r="D72" s="712">
        <f t="shared" si="77"/>
        <v>0.8</v>
      </c>
      <c r="E72" s="515">
        <f t="shared" si="93"/>
        <v>16</v>
      </c>
      <c r="F72" s="516">
        <v>1</v>
      </c>
      <c r="G72" s="517">
        <f t="shared" si="94"/>
        <v>0.05</v>
      </c>
      <c r="H72" s="713">
        <f t="shared" si="83"/>
        <v>60000</v>
      </c>
      <c r="I72" s="518"/>
      <c r="J72" s="526">
        <f t="shared" si="84"/>
        <v>3000</v>
      </c>
      <c r="K72" s="876"/>
      <c r="L72" s="597"/>
      <c r="M72" s="635">
        <f t="shared" si="85"/>
        <v>4</v>
      </c>
      <c r="N72" s="636" t="str">
        <f t="shared" si="86"/>
        <v>Годовое техобслуживание узлов учета тепло-водоснабжения (ООО Теплоучет)</v>
      </c>
      <c r="O72" s="637" t="str">
        <f t="shared" si="87"/>
        <v>договор</v>
      </c>
      <c r="P72" s="638">
        <f t="shared" si="78"/>
        <v>0.2</v>
      </c>
      <c r="Q72" s="623">
        <f t="shared" si="95"/>
        <v>4</v>
      </c>
      <c r="R72" s="639">
        <v>1</v>
      </c>
      <c r="S72" s="640">
        <f t="shared" si="96"/>
        <v>0.05</v>
      </c>
      <c r="T72" s="641">
        <f t="shared" si="88"/>
        <v>60000</v>
      </c>
      <c r="U72" s="603"/>
      <c r="V72" s="642">
        <f t="shared" si="89"/>
        <v>3000</v>
      </c>
      <c r="W72" s="876"/>
      <c r="X72" s="509">
        <v>4</v>
      </c>
      <c r="Y72" s="512" t="s">
        <v>162</v>
      </c>
      <c r="Z72" s="502" t="s">
        <v>53</v>
      </c>
      <c r="AA72" s="499"/>
      <c r="AB72" s="504">
        <f t="shared" si="97"/>
        <v>4</v>
      </c>
      <c r="AC72" s="500">
        <v>1</v>
      </c>
      <c r="AD72" s="501"/>
      <c r="AE72" s="544">
        <v>60000</v>
      </c>
      <c r="AF72" s="510"/>
      <c r="AG72" s="406">
        <f t="shared" si="90"/>
        <v>0</v>
      </c>
      <c r="AH72" s="876"/>
      <c r="AI72" s="505">
        <f t="shared" si="91"/>
        <v>1</v>
      </c>
      <c r="AJ72" s="506">
        <f t="shared" si="92"/>
        <v>60000</v>
      </c>
      <c r="AK72" s="507">
        <v>60000</v>
      </c>
      <c r="AL72" s="494">
        <f>AK72-AJ72</f>
        <v>0</v>
      </c>
      <c r="AM72" s="513"/>
    </row>
    <row r="73" spans="1:39" s="404" customFormat="1" ht="15.75">
      <c r="A73" s="520">
        <f t="shared" si="80"/>
        <v>5</v>
      </c>
      <c r="B73" s="519" t="str">
        <f t="shared" si="81"/>
        <v>Обслуживание тревожной кнопки</v>
      </c>
      <c r="C73" s="711" t="str">
        <f t="shared" si="82"/>
        <v>договор</v>
      </c>
      <c r="D73" s="712">
        <f t="shared" si="77"/>
        <v>0.8</v>
      </c>
      <c r="E73" s="515">
        <f t="shared" si="93"/>
        <v>16</v>
      </c>
      <c r="F73" s="516">
        <v>1</v>
      </c>
      <c r="G73" s="517">
        <f t="shared" si="94"/>
        <v>0.05</v>
      </c>
      <c r="H73" s="713">
        <f t="shared" si="83"/>
        <v>30000</v>
      </c>
      <c r="I73" s="518"/>
      <c r="J73" s="526">
        <f t="shared" si="84"/>
        <v>1500</v>
      </c>
      <c r="K73" s="876"/>
      <c r="L73" s="597"/>
      <c r="M73" s="635">
        <f t="shared" si="85"/>
        <v>5</v>
      </c>
      <c r="N73" s="636" t="str">
        <f t="shared" si="86"/>
        <v>Обслуживание тревожной кнопки</v>
      </c>
      <c r="O73" s="637" t="str">
        <f t="shared" si="87"/>
        <v>договор</v>
      </c>
      <c r="P73" s="638">
        <f t="shared" si="78"/>
        <v>0.2</v>
      </c>
      <c r="Q73" s="623">
        <f t="shared" si="95"/>
        <v>4</v>
      </c>
      <c r="R73" s="639">
        <v>1</v>
      </c>
      <c r="S73" s="640">
        <f t="shared" si="96"/>
        <v>0.05</v>
      </c>
      <c r="T73" s="641">
        <f t="shared" si="88"/>
        <v>30000</v>
      </c>
      <c r="U73" s="603"/>
      <c r="V73" s="642">
        <f t="shared" si="89"/>
        <v>1500</v>
      </c>
      <c r="W73" s="876"/>
      <c r="X73" s="498">
        <v>5</v>
      </c>
      <c r="Y73" s="405" t="s">
        <v>120</v>
      </c>
      <c r="Z73" s="502" t="s">
        <v>53</v>
      </c>
      <c r="AA73" s="499"/>
      <c r="AB73" s="504">
        <f t="shared" si="97"/>
        <v>4</v>
      </c>
      <c r="AC73" s="500">
        <v>1</v>
      </c>
      <c r="AD73" s="501"/>
      <c r="AE73" s="545">
        <v>30000</v>
      </c>
      <c r="AF73" s="503"/>
      <c r="AG73" s="406">
        <f t="shared" si="90"/>
        <v>0</v>
      </c>
      <c r="AH73" s="876"/>
      <c r="AI73" s="505">
        <f t="shared" si="91"/>
        <v>1</v>
      </c>
      <c r="AJ73" s="506">
        <f t="shared" si="92"/>
        <v>30000</v>
      </c>
      <c r="AK73" s="507">
        <v>30000</v>
      </c>
      <c r="AL73" s="494">
        <f t="shared" ref="AL73:AL77" si="98">AK73-AJ73</f>
        <v>0</v>
      </c>
      <c r="AM73" s="513"/>
    </row>
    <row r="74" spans="1:39" s="404" customFormat="1" ht="15.75">
      <c r="A74" s="520">
        <f t="shared" si="80"/>
        <v>6</v>
      </c>
      <c r="B74" s="519" t="str">
        <f t="shared" si="81"/>
        <v>Уборка территории от снега</v>
      </c>
      <c r="C74" s="711" t="str">
        <f t="shared" si="82"/>
        <v>договор</v>
      </c>
      <c r="D74" s="712">
        <f t="shared" si="77"/>
        <v>0.8</v>
      </c>
      <c r="E74" s="515">
        <f t="shared" si="93"/>
        <v>16</v>
      </c>
      <c r="F74" s="516">
        <v>1</v>
      </c>
      <c r="G74" s="517">
        <f t="shared" si="94"/>
        <v>0.05</v>
      </c>
      <c r="H74" s="713">
        <f t="shared" si="83"/>
        <v>70000</v>
      </c>
      <c r="I74" s="518"/>
      <c r="J74" s="526">
        <f t="shared" si="84"/>
        <v>3500</v>
      </c>
      <c r="K74" s="876"/>
      <c r="L74" s="597"/>
      <c r="M74" s="635">
        <f t="shared" si="85"/>
        <v>6</v>
      </c>
      <c r="N74" s="636" t="str">
        <f t="shared" si="86"/>
        <v>Уборка территории от снега</v>
      </c>
      <c r="O74" s="637" t="str">
        <f t="shared" si="87"/>
        <v>договор</v>
      </c>
      <c r="P74" s="638">
        <f t="shared" si="78"/>
        <v>0.2</v>
      </c>
      <c r="Q74" s="623">
        <f t="shared" si="95"/>
        <v>4</v>
      </c>
      <c r="R74" s="639">
        <v>1</v>
      </c>
      <c r="S74" s="640">
        <f t="shared" si="96"/>
        <v>0.05</v>
      </c>
      <c r="T74" s="641">
        <f t="shared" si="88"/>
        <v>70000</v>
      </c>
      <c r="U74" s="603"/>
      <c r="V74" s="642">
        <f t="shared" si="89"/>
        <v>3500</v>
      </c>
      <c r="W74" s="876"/>
      <c r="X74" s="498">
        <v>6</v>
      </c>
      <c r="Y74" s="405" t="s">
        <v>93</v>
      </c>
      <c r="Z74" s="502" t="s">
        <v>53</v>
      </c>
      <c r="AA74" s="499"/>
      <c r="AB74" s="504">
        <f t="shared" si="97"/>
        <v>4</v>
      </c>
      <c r="AC74" s="500">
        <v>1</v>
      </c>
      <c r="AD74" s="501"/>
      <c r="AE74" s="543">
        <v>70000</v>
      </c>
      <c r="AF74" s="503"/>
      <c r="AG74" s="406">
        <f t="shared" si="90"/>
        <v>0</v>
      </c>
      <c r="AH74" s="876"/>
      <c r="AI74" s="505">
        <f t="shared" si="91"/>
        <v>1</v>
      </c>
      <c r="AJ74" s="506">
        <f t="shared" si="92"/>
        <v>70000</v>
      </c>
      <c r="AK74" s="507">
        <v>70000</v>
      </c>
      <c r="AL74" s="494">
        <f t="shared" si="98"/>
        <v>0</v>
      </c>
      <c r="AM74" s="513"/>
    </row>
    <row r="75" spans="1:39" s="404" customFormat="1" ht="15.75">
      <c r="A75" s="520">
        <f t="shared" si="80"/>
        <v>7</v>
      </c>
      <c r="B75" s="519" t="str">
        <f t="shared" si="81"/>
        <v>Монтаж теплолузла</v>
      </c>
      <c r="C75" s="711" t="str">
        <f t="shared" si="82"/>
        <v>договор</v>
      </c>
      <c r="D75" s="712">
        <f t="shared" si="77"/>
        <v>0.8</v>
      </c>
      <c r="E75" s="515">
        <f t="shared" si="93"/>
        <v>16</v>
      </c>
      <c r="F75" s="516">
        <v>1</v>
      </c>
      <c r="G75" s="517">
        <f t="shared" si="94"/>
        <v>0.05</v>
      </c>
      <c r="H75" s="713">
        <f t="shared" si="83"/>
        <v>0</v>
      </c>
      <c r="I75" s="518"/>
      <c r="J75" s="526">
        <f t="shared" si="84"/>
        <v>0</v>
      </c>
      <c r="K75" s="876"/>
      <c r="L75" s="597"/>
      <c r="M75" s="635">
        <f t="shared" si="85"/>
        <v>7</v>
      </c>
      <c r="N75" s="636" t="str">
        <f t="shared" si="86"/>
        <v>Монтаж теплолузла</v>
      </c>
      <c r="O75" s="637" t="str">
        <f t="shared" si="87"/>
        <v>договор</v>
      </c>
      <c r="P75" s="638">
        <f t="shared" si="78"/>
        <v>0.2</v>
      </c>
      <c r="Q75" s="623">
        <f t="shared" si="95"/>
        <v>4</v>
      </c>
      <c r="R75" s="639">
        <v>1</v>
      </c>
      <c r="S75" s="640">
        <f t="shared" si="96"/>
        <v>0.05</v>
      </c>
      <c r="T75" s="641">
        <f t="shared" si="88"/>
        <v>0</v>
      </c>
      <c r="U75" s="603"/>
      <c r="V75" s="642">
        <f t="shared" si="89"/>
        <v>0</v>
      </c>
      <c r="W75" s="876"/>
      <c r="X75" s="498">
        <v>7</v>
      </c>
      <c r="Y75" s="405" t="s">
        <v>357</v>
      </c>
      <c r="Z75" s="502" t="s">
        <v>53</v>
      </c>
      <c r="AA75" s="499"/>
      <c r="AB75" s="504">
        <f t="shared" si="97"/>
        <v>4</v>
      </c>
      <c r="AC75" s="500">
        <v>1</v>
      </c>
      <c r="AD75" s="501"/>
      <c r="AE75" s="543">
        <v>0</v>
      </c>
      <c r="AF75" s="503"/>
      <c r="AG75" s="406">
        <f t="shared" si="90"/>
        <v>0</v>
      </c>
      <c r="AH75" s="876"/>
      <c r="AI75" s="505">
        <f t="shared" si="91"/>
        <v>1</v>
      </c>
      <c r="AJ75" s="506">
        <f t="shared" si="92"/>
        <v>0</v>
      </c>
      <c r="AK75" s="507"/>
      <c r="AL75" s="494">
        <f t="shared" si="98"/>
        <v>0</v>
      </c>
      <c r="AM75" s="513"/>
    </row>
    <row r="76" spans="1:39" s="404" customFormat="1" ht="15.75">
      <c r="A76" s="520">
        <f t="shared" si="80"/>
        <v>8</v>
      </c>
      <c r="B76" s="519" t="str">
        <f t="shared" si="81"/>
        <v>Дератизация и дезинфекция</v>
      </c>
      <c r="C76" s="711" t="str">
        <f t="shared" si="82"/>
        <v>договор</v>
      </c>
      <c r="D76" s="712">
        <f t="shared" si="77"/>
        <v>0.8</v>
      </c>
      <c r="E76" s="515">
        <f t="shared" si="93"/>
        <v>16</v>
      </c>
      <c r="F76" s="516">
        <v>1</v>
      </c>
      <c r="G76" s="517">
        <f t="shared" si="94"/>
        <v>0.05</v>
      </c>
      <c r="H76" s="713">
        <f t="shared" si="83"/>
        <v>9315.93</v>
      </c>
      <c r="I76" s="518"/>
      <c r="J76" s="526">
        <f t="shared" si="84"/>
        <v>465.79650000000004</v>
      </c>
      <c r="K76" s="876"/>
      <c r="L76" s="597"/>
      <c r="M76" s="635">
        <f t="shared" si="85"/>
        <v>8</v>
      </c>
      <c r="N76" s="636" t="str">
        <f t="shared" si="86"/>
        <v>Дератизация и дезинфекция</v>
      </c>
      <c r="O76" s="637" t="str">
        <f t="shared" si="87"/>
        <v>договор</v>
      </c>
      <c r="P76" s="638">
        <f t="shared" si="78"/>
        <v>0.2</v>
      </c>
      <c r="Q76" s="623">
        <f t="shared" si="95"/>
        <v>4</v>
      </c>
      <c r="R76" s="639">
        <v>1</v>
      </c>
      <c r="S76" s="640">
        <f t="shared" si="96"/>
        <v>0.05</v>
      </c>
      <c r="T76" s="641">
        <f t="shared" si="88"/>
        <v>9315.93</v>
      </c>
      <c r="U76" s="603"/>
      <c r="V76" s="642">
        <f t="shared" si="89"/>
        <v>465.79650000000004</v>
      </c>
      <c r="W76" s="876"/>
      <c r="X76" s="498">
        <v>8</v>
      </c>
      <c r="Y76" s="405" t="s">
        <v>113</v>
      </c>
      <c r="Z76" s="502" t="s">
        <v>53</v>
      </c>
      <c r="AA76" s="499"/>
      <c r="AB76" s="504">
        <f t="shared" si="97"/>
        <v>4</v>
      </c>
      <c r="AC76" s="500">
        <v>1</v>
      </c>
      <c r="AD76" s="501"/>
      <c r="AE76" s="543">
        <v>9315.93</v>
      </c>
      <c r="AF76" s="503"/>
      <c r="AG76" s="406">
        <f t="shared" si="90"/>
        <v>0</v>
      </c>
      <c r="AH76" s="876"/>
      <c r="AI76" s="505">
        <f t="shared" si="91"/>
        <v>1</v>
      </c>
      <c r="AJ76" s="506">
        <f t="shared" si="92"/>
        <v>9315.93</v>
      </c>
      <c r="AK76" s="507">
        <v>9315.93</v>
      </c>
      <c r="AL76" s="494">
        <f t="shared" si="98"/>
        <v>0</v>
      </c>
      <c r="AM76" s="513"/>
    </row>
    <row r="77" spans="1:39" s="404" customFormat="1" ht="90">
      <c r="A77" s="520">
        <f t="shared" si="80"/>
        <v>9</v>
      </c>
      <c r="B77" s="519" t="str">
        <f t="shared" si="81"/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C77" s="711" t="str">
        <f t="shared" si="82"/>
        <v>договор</v>
      </c>
      <c r="D77" s="712">
        <f t="shared" si="77"/>
        <v>0.8</v>
      </c>
      <c r="E77" s="515">
        <f t="shared" si="93"/>
        <v>16</v>
      </c>
      <c r="F77" s="516">
        <v>1</v>
      </c>
      <c r="G77" s="517">
        <f t="shared" si="94"/>
        <v>0.05</v>
      </c>
      <c r="H77" s="713">
        <f>T77</f>
        <v>50000</v>
      </c>
      <c r="I77" s="518"/>
      <c r="J77" s="526">
        <f t="shared" si="84"/>
        <v>2500</v>
      </c>
      <c r="K77" s="876"/>
      <c r="L77" s="597"/>
      <c r="M77" s="635">
        <f t="shared" si="85"/>
        <v>9</v>
      </c>
      <c r="N77" s="636" t="str">
        <f t="shared" si="86"/>
        <v>Обслуживание систем имущества (промывка и опрессовка систем отопления, обслуживание приборов учета,  аварийнор-диспетчерское обслуживание</v>
      </c>
      <c r="O77" s="637" t="str">
        <f t="shared" si="87"/>
        <v>договор</v>
      </c>
      <c r="P77" s="638">
        <f t="shared" si="78"/>
        <v>0.2</v>
      </c>
      <c r="Q77" s="623">
        <f>Q76</f>
        <v>4</v>
      </c>
      <c r="R77" s="639">
        <v>1</v>
      </c>
      <c r="S77" s="640">
        <f>P77*R77/Q77</f>
        <v>0.05</v>
      </c>
      <c r="T77" s="641">
        <f t="shared" si="88"/>
        <v>50000</v>
      </c>
      <c r="U77" s="603"/>
      <c r="V77" s="642">
        <f>T77*S77</f>
        <v>2500</v>
      </c>
      <c r="W77" s="876"/>
      <c r="X77" s="498">
        <v>9</v>
      </c>
      <c r="Y77" s="405" t="s">
        <v>278</v>
      </c>
      <c r="Z77" s="502" t="s">
        <v>53</v>
      </c>
      <c r="AA77" s="499"/>
      <c r="AB77" s="504">
        <f t="shared" si="97"/>
        <v>4</v>
      </c>
      <c r="AC77" s="500">
        <v>1</v>
      </c>
      <c r="AD77" s="501"/>
      <c r="AE77" s="543">
        <v>50000</v>
      </c>
      <c r="AF77" s="503"/>
      <c r="AG77" s="406">
        <f t="shared" si="90"/>
        <v>0</v>
      </c>
      <c r="AH77" s="876"/>
      <c r="AI77" s="505">
        <f t="shared" si="91"/>
        <v>1</v>
      </c>
      <c r="AJ77" s="506">
        <f t="shared" si="92"/>
        <v>50000</v>
      </c>
      <c r="AK77" s="507">
        <v>50000</v>
      </c>
      <c r="AL77" s="494">
        <f t="shared" si="98"/>
        <v>0</v>
      </c>
      <c r="AM77" s="513"/>
    </row>
    <row r="78" spans="1:39" s="404" customFormat="1" ht="30.75" thickBot="1">
      <c r="A78" s="520">
        <f t="shared" si="80"/>
        <v>10</v>
      </c>
      <c r="B78" s="519" t="str">
        <f t="shared" si="81"/>
        <v>Обслуживание охранной сигнализации</v>
      </c>
      <c r="C78" s="711" t="str">
        <f t="shared" si="82"/>
        <v>договор</v>
      </c>
      <c r="D78" s="712">
        <f t="shared" si="77"/>
        <v>0.8</v>
      </c>
      <c r="E78" s="515">
        <f t="shared" si="93"/>
        <v>16</v>
      </c>
      <c r="F78" s="516">
        <v>1</v>
      </c>
      <c r="G78" s="517">
        <f t="shared" ref="G78" si="99">D78*F78/E78</f>
        <v>0.05</v>
      </c>
      <c r="H78" s="713">
        <f>T78</f>
        <v>6000</v>
      </c>
      <c r="I78" s="518"/>
      <c r="J78" s="526">
        <f t="shared" ref="J78" si="100">H78*G78</f>
        <v>300</v>
      </c>
      <c r="K78" s="876"/>
      <c r="L78" s="597"/>
      <c r="M78" s="635">
        <f t="shared" si="85"/>
        <v>10</v>
      </c>
      <c r="N78" s="636" t="str">
        <f t="shared" si="86"/>
        <v>Обслуживание охранной сигнализации</v>
      </c>
      <c r="O78" s="637" t="str">
        <f t="shared" si="87"/>
        <v>договор</v>
      </c>
      <c r="P78" s="638">
        <f t="shared" si="78"/>
        <v>0.2</v>
      </c>
      <c r="Q78" s="623">
        <f>Q77</f>
        <v>4</v>
      </c>
      <c r="R78" s="639">
        <v>1</v>
      </c>
      <c r="S78" s="640">
        <f>P78*R78/Q78</f>
        <v>0.05</v>
      </c>
      <c r="T78" s="641">
        <f t="shared" si="88"/>
        <v>6000</v>
      </c>
      <c r="U78" s="603"/>
      <c r="V78" s="642">
        <f>T78*S78</f>
        <v>300</v>
      </c>
      <c r="W78" s="876"/>
      <c r="X78" s="520">
        <v>10</v>
      </c>
      <c r="Y78" s="422" t="s">
        <v>342</v>
      </c>
      <c r="Z78" s="502" t="s">
        <v>53</v>
      </c>
      <c r="AA78" s="499"/>
      <c r="AB78" s="504">
        <f t="shared" si="97"/>
        <v>4</v>
      </c>
      <c r="AC78" s="500">
        <v>1</v>
      </c>
      <c r="AD78" s="501"/>
      <c r="AE78" s="543">
        <v>6000</v>
      </c>
      <c r="AF78" s="503"/>
      <c r="AG78" s="406">
        <f t="shared" ref="AG78" si="101">AE78*AD78</f>
        <v>0</v>
      </c>
      <c r="AH78" s="876"/>
      <c r="AI78" s="505">
        <f t="shared" si="91"/>
        <v>1</v>
      </c>
      <c r="AJ78" s="506">
        <f t="shared" si="92"/>
        <v>6000</v>
      </c>
      <c r="AK78" s="507">
        <v>6000</v>
      </c>
      <c r="AL78" s="494">
        <f>AK78-AJ78</f>
        <v>0</v>
      </c>
      <c r="AM78" s="513"/>
    </row>
    <row r="79" spans="1:39" ht="16.5" thickBot="1">
      <c r="A79" s="861" t="s">
        <v>27</v>
      </c>
      <c r="B79" s="862"/>
      <c r="C79" s="862"/>
      <c r="D79" s="862"/>
      <c r="E79" s="862"/>
      <c r="F79" s="862"/>
      <c r="G79" s="862"/>
      <c r="H79" s="862"/>
      <c r="I79" s="863"/>
      <c r="J79" s="470">
        <f>SUM(J69:J78)</f>
        <v>15804.051500000001</v>
      </c>
      <c r="K79" s="877"/>
      <c r="L79" s="333"/>
      <c r="M79" s="881" t="s">
        <v>27</v>
      </c>
      <c r="N79" s="882"/>
      <c r="O79" s="882"/>
      <c r="P79" s="882"/>
      <c r="Q79" s="882"/>
      <c r="R79" s="882"/>
      <c r="S79" s="882"/>
      <c r="T79" s="882"/>
      <c r="U79" s="883"/>
      <c r="V79" s="643">
        <f>SUM(V69:V78)</f>
        <v>15804.051500000001</v>
      </c>
      <c r="W79" s="877"/>
      <c r="X79" s="911" t="s">
        <v>27</v>
      </c>
      <c r="Y79" s="911"/>
      <c r="Z79" s="911"/>
      <c r="AA79" s="911"/>
      <c r="AB79" s="911"/>
      <c r="AC79" s="911"/>
      <c r="AD79" s="911"/>
      <c r="AE79" s="911"/>
      <c r="AF79" s="911"/>
      <c r="AG79" s="360">
        <f>SUM(AG69:AG78)</f>
        <v>0</v>
      </c>
      <c r="AH79" s="877"/>
      <c r="AI79" s="333"/>
      <c r="AJ79" s="462">
        <f>SUM(AJ69:AJ78)</f>
        <v>316081.03000000003</v>
      </c>
      <c r="AK79" s="521">
        <f>SUM(AK69:AK78)</f>
        <v>316081.03000000003</v>
      </c>
      <c r="AL79" s="433">
        <f>AD151</f>
        <v>316081.03000000003</v>
      </c>
      <c r="AM79" s="56">
        <v>225</v>
      </c>
    </row>
    <row r="80" spans="1:39" ht="15" customHeight="1">
      <c r="A80" s="871" t="s">
        <v>67</v>
      </c>
      <c r="B80" s="872"/>
      <c r="C80" s="872"/>
      <c r="D80" s="872"/>
      <c r="E80" s="872"/>
      <c r="F80" s="872"/>
      <c r="G80" s="872"/>
      <c r="H80" s="872"/>
      <c r="I80" s="872"/>
      <c r="J80" s="872"/>
      <c r="K80" s="873"/>
      <c r="L80" s="594"/>
      <c r="M80" s="871" t="s">
        <v>67</v>
      </c>
      <c r="N80" s="872"/>
      <c r="O80" s="872"/>
      <c r="P80" s="872"/>
      <c r="Q80" s="872"/>
      <c r="R80" s="872"/>
      <c r="S80" s="872"/>
      <c r="T80" s="872"/>
      <c r="U80" s="872"/>
      <c r="V80" s="872"/>
      <c r="W80" s="873"/>
      <c r="X80" s="806" t="s">
        <v>67</v>
      </c>
      <c r="Y80" s="819"/>
      <c r="Z80" s="807"/>
      <c r="AA80" s="807"/>
      <c r="AB80" s="807"/>
      <c r="AC80" s="807"/>
      <c r="AD80" s="807"/>
      <c r="AE80" s="807"/>
      <c r="AF80" s="807"/>
      <c r="AG80" s="819"/>
      <c r="AH80" s="808"/>
      <c r="AI80" s="332"/>
      <c r="AJ80" s="463"/>
      <c r="AK80" s="326">
        <f>AL79-AJ79</f>
        <v>0</v>
      </c>
      <c r="AL80" s="423"/>
    </row>
    <row r="81" spans="1:44">
      <c r="A81" s="702">
        <v>1</v>
      </c>
      <c r="B81" s="714"/>
      <c r="C81" s="715"/>
      <c r="D81" s="716"/>
      <c r="E81" s="705">
        <f>F12</f>
        <v>16</v>
      </c>
      <c r="F81" s="706">
        <v>300</v>
      </c>
      <c r="G81" s="717">
        <f t="shared" ref="G81:G83" si="102">D81*F81/E81</f>
        <v>0</v>
      </c>
      <c r="H81" s="704"/>
      <c r="I81" s="718"/>
      <c r="J81" s="709">
        <f>H81*G81</f>
        <v>0</v>
      </c>
      <c r="K81" s="875"/>
      <c r="L81" s="333"/>
      <c r="M81" s="644">
        <v>1</v>
      </c>
      <c r="N81" s="645"/>
      <c r="O81" s="646"/>
      <c r="P81" s="612"/>
      <c r="Q81" s="628">
        <f>R12</f>
        <v>4</v>
      </c>
      <c r="R81" s="629">
        <v>300</v>
      </c>
      <c r="S81" s="647">
        <f t="shared" ref="S81:S83" si="103">P81*R81/Q81</f>
        <v>0</v>
      </c>
      <c r="T81" s="612"/>
      <c r="U81" s="632"/>
      <c r="V81" s="633">
        <f>T81*S81</f>
        <v>0</v>
      </c>
      <c r="W81" s="875"/>
      <c r="X81" s="350">
        <v>1</v>
      </c>
      <c r="Y81" s="358"/>
      <c r="Z81" s="6"/>
      <c r="AA81" s="351"/>
      <c r="AB81" s="340">
        <f>AC12</f>
        <v>4</v>
      </c>
      <c r="AC81" s="341">
        <v>300</v>
      </c>
      <c r="AD81" s="342"/>
      <c r="AE81" s="351"/>
      <c r="AF81" s="7"/>
      <c r="AG81" s="359"/>
      <c r="AH81" s="875"/>
      <c r="AI81" s="333"/>
      <c r="AJ81" s="463"/>
    </row>
    <row r="82" spans="1:44">
      <c r="A82" s="702">
        <v>2</v>
      </c>
      <c r="B82" s="714"/>
      <c r="C82" s="715"/>
      <c r="D82" s="716"/>
      <c r="E82" s="705">
        <f>E81</f>
        <v>16</v>
      </c>
      <c r="F82" s="706">
        <v>300</v>
      </c>
      <c r="G82" s="717">
        <f t="shared" si="102"/>
        <v>0</v>
      </c>
      <c r="H82" s="704"/>
      <c r="I82" s="718"/>
      <c r="J82" s="709">
        <f>H82*G82</f>
        <v>0</v>
      </c>
      <c r="K82" s="876"/>
      <c r="L82" s="333"/>
      <c r="M82" s="644">
        <v>2</v>
      </c>
      <c r="N82" s="645"/>
      <c r="O82" s="646"/>
      <c r="P82" s="612"/>
      <c r="Q82" s="628">
        <f>Q81</f>
        <v>4</v>
      </c>
      <c r="R82" s="629">
        <v>300</v>
      </c>
      <c r="S82" s="647">
        <f t="shared" si="103"/>
        <v>0</v>
      </c>
      <c r="T82" s="612"/>
      <c r="U82" s="632"/>
      <c r="V82" s="633">
        <f>T82*S82</f>
        <v>0</v>
      </c>
      <c r="W82" s="876"/>
      <c r="X82" s="350">
        <v>2</v>
      </c>
      <c r="Y82" s="358"/>
      <c r="Z82" s="6"/>
      <c r="AA82" s="351"/>
      <c r="AB82" s="340">
        <f>AB81</f>
        <v>4</v>
      </c>
      <c r="AC82" s="341">
        <v>300</v>
      </c>
      <c r="AD82" s="342"/>
      <c r="AE82" s="351"/>
      <c r="AF82" s="7"/>
      <c r="AG82" s="359"/>
      <c r="AH82" s="876"/>
      <c r="AI82" s="333"/>
      <c r="AJ82" s="463"/>
    </row>
    <row r="83" spans="1:44">
      <c r="A83" s="702">
        <v>3</v>
      </c>
      <c r="B83" s="714"/>
      <c r="C83" s="715"/>
      <c r="D83" s="716"/>
      <c r="E83" s="705">
        <f>E82</f>
        <v>16</v>
      </c>
      <c r="F83" s="706">
        <v>300</v>
      </c>
      <c r="G83" s="717">
        <f t="shared" si="102"/>
        <v>0</v>
      </c>
      <c r="H83" s="704"/>
      <c r="I83" s="718"/>
      <c r="J83" s="709">
        <f>H83*G83</f>
        <v>0</v>
      </c>
      <c r="K83" s="876"/>
      <c r="L83" s="333"/>
      <c r="M83" s="644">
        <v>3</v>
      </c>
      <c r="N83" s="645"/>
      <c r="O83" s="646"/>
      <c r="P83" s="612"/>
      <c r="Q83" s="628">
        <f>Q82</f>
        <v>4</v>
      </c>
      <c r="R83" s="629">
        <v>300</v>
      </c>
      <c r="S83" s="647">
        <f t="shared" si="103"/>
        <v>0</v>
      </c>
      <c r="T83" s="612"/>
      <c r="U83" s="632"/>
      <c r="V83" s="633">
        <f>T83*S83</f>
        <v>0</v>
      </c>
      <c r="W83" s="876"/>
      <c r="X83" s="350">
        <v>3</v>
      </c>
      <c r="Y83" s="358"/>
      <c r="Z83" s="6"/>
      <c r="AA83" s="351"/>
      <c r="AB83" s="340">
        <f>AB82</f>
        <v>4</v>
      </c>
      <c r="AC83" s="341">
        <v>300</v>
      </c>
      <c r="AD83" s="342"/>
      <c r="AE83" s="351"/>
      <c r="AF83" s="7"/>
      <c r="AG83" s="359"/>
      <c r="AH83" s="876"/>
      <c r="AI83" s="333"/>
      <c r="AJ83" s="463"/>
    </row>
    <row r="84" spans="1:44">
      <c r="A84" s="861" t="s">
        <v>27</v>
      </c>
      <c r="B84" s="862"/>
      <c r="C84" s="862"/>
      <c r="D84" s="862"/>
      <c r="E84" s="862"/>
      <c r="F84" s="862"/>
      <c r="G84" s="862"/>
      <c r="H84" s="862"/>
      <c r="I84" s="863"/>
      <c r="J84" s="470">
        <f>SUM(J81:J83)</f>
        <v>0</v>
      </c>
      <c r="K84" s="877"/>
      <c r="L84" s="333"/>
      <c r="M84" s="881" t="s">
        <v>27</v>
      </c>
      <c r="N84" s="882"/>
      <c r="O84" s="882"/>
      <c r="P84" s="882"/>
      <c r="Q84" s="882"/>
      <c r="R84" s="882"/>
      <c r="S84" s="882"/>
      <c r="T84" s="882"/>
      <c r="U84" s="883"/>
      <c r="V84" s="643">
        <f>SUM(V81:V83)</f>
        <v>0</v>
      </c>
      <c r="W84" s="877"/>
      <c r="X84" s="911" t="s">
        <v>27</v>
      </c>
      <c r="Y84" s="911"/>
      <c r="Z84" s="911"/>
      <c r="AA84" s="911"/>
      <c r="AB84" s="911"/>
      <c r="AC84" s="911"/>
      <c r="AD84" s="911"/>
      <c r="AE84" s="911"/>
      <c r="AF84" s="911"/>
      <c r="AG84" s="360">
        <f>SUM(AG81:AG83)</f>
        <v>0</v>
      </c>
      <c r="AH84" s="877"/>
      <c r="AI84" s="333"/>
      <c r="AJ84" s="463"/>
    </row>
    <row r="85" spans="1:44" ht="15" customHeight="1">
      <c r="A85" s="871" t="s">
        <v>21</v>
      </c>
      <c r="B85" s="872"/>
      <c r="C85" s="872"/>
      <c r="D85" s="872"/>
      <c r="E85" s="872"/>
      <c r="F85" s="872"/>
      <c r="G85" s="872"/>
      <c r="H85" s="872"/>
      <c r="I85" s="872"/>
      <c r="J85" s="872"/>
      <c r="K85" s="873"/>
      <c r="L85" s="594"/>
      <c r="M85" s="871" t="s">
        <v>21</v>
      </c>
      <c r="N85" s="872"/>
      <c r="O85" s="872"/>
      <c r="P85" s="872"/>
      <c r="Q85" s="872"/>
      <c r="R85" s="872"/>
      <c r="S85" s="872"/>
      <c r="T85" s="872"/>
      <c r="U85" s="872"/>
      <c r="V85" s="872"/>
      <c r="W85" s="873"/>
      <c r="X85" s="806" t="s">
        <v>21</v>
      </c>
      <c r="Y85" s="819"/>
      <c r="Z85" s="807"/>
      <c r="AA85" s="807"/>
      <c r="AB85" s="807"/>
      <c r="AC85" s="807"/>
      <c r="AD85" s="807"/>
      <c r="AE85" s="807"/>
      <c r="AF85" s="807"/>
      <c r="AG85" s="819"/>
      <c r="AH85" s="808"/>
      <c r="AI85" s="332"/>
      <c r="AJ85" s="463"/>
    </row>
    <row r="86" spans="1:44" s="338" customFormat="1" ht="27.75" customHeight="1">
      <c r="A86" s="669">
        <f>M86</f>
        <v>1</v>
      </c>
      <c r="B86" s="714" t="str">
        <f>N86</f>
        <v>Абонентская связь</v>
      </c>
      <c r="C86" s="715" t="str">
        <f>O86</f>
        <v>сумма договора в год</v>
      </c>
      <c r="D86" s="719">
        <f>1/20*E86</f>
        <v>0.8</v>
      </c>
      <c r="E86" s="720">
        <f>F12</f>
        <v>16</v>
      </c>
      <c r="F86" s="721">
        <v>1</v>
      </c>
      <c r="G86" s="722">
        <f>D86*F86/E86</f>
        <v>0.05</v>
      </c>
      <c r="H86" s="723">
        <f>T86</f>
        <v>17671.68</v>
      </c>
      <c r="I86" s="724"/>
      <c r="J86" s="725">
        <f>G86*H86</f>
        <v>883.58400000000006</v>
      </c>
      <c r="K86" s="899"/>
      <c r="L86" s="598"/>
      <c r="M86" s="644">
        <f>X86</f>
        <v>1</v>
      </c>
      <c r="N86" s="645" t="str">
        <f>Y86</f>
        <v>Абонентская связь</v>
      </c>
      <c r="O86" s="646" t="str">
        <f>Z86</f>
        <v>сумма договора в год</v>
      </c>
      <c r="P86" s="612">
        <f>1/20*Q86</f>
        <v>0.2</v>
      </c>
      <c r="Q86" s="648">
        <f>R12</f>
        <v>4</v>
      </c>
      <c r="R86" s="649">
        <v>1</v>
      </c>
      <c r="S86" s="650">
        <f t="shared" ref="S86:S88" si="104">P86*R86/Q86</f>
        <v>0.05</v>
      </c>
      <c r="T86" s="631">
        <f>AE86</f>
        <v>17671.68</v>
      </c>
      <c r="U86" s="651"/>
      <c r="V86" s="652">
        <f>S86*T86</f>
        <v>883.58400000000006</v>
      </c>
      <c r="W86" s="899"/>
      <c r="X86" s="350">
        <v>1</v>
      </c>
      <c r="Y86" s="358" t="s">
        <v>22</v>
      </c>
      <c r="Z86" s="6" t="s">
        <v>130</v>
      </c>
      <c r="AA86" s="351"/>
      <c r="AB86" s="355"/>
      <c r="AC86" s="356"/>
      <c r="AD86" s="357"/>
      <c r="AE86" s="534">
        <v>17671.68</v>
      </c>
      <c r="AF86" s="3"/>
      <c r="AG86" s="522">
        <f>AD86*AE86</f>
        <v>0</v>
      </c>
      <c r="AH86" s="899"/>
      <c r="AI86" s="505">
        <f>AA86+P86+D86</f>
        <v>1</v>
      </c>
      <c r="AJ86" s="461">
        <f>AG86*AB86+V86*Q86+J86*E86</f>
        <v>17671.68</v>
      </c>
      <c r="AK86" s="428">
        <v>17671.68</v>
      </c>
      <c r="AL86" s="428">
        <f>AK86-AJ86</f>
        <v>0</v>
      </c>
    </row>
    <row r="87" spans="1:44" ht="15" customHeight="1">
      <c r="A87" s="669">
        <f t="shared" ref="A87:A88" si="105">M87</f>
        <v>2</v>
      </c>
      <c r="B87" s="714" t="str">
        <f t="shared" ref="B87:B88" si="106">N87</f>
        <v>Услуги интернет</v>
      </c>
      <c r="C87" s="715" t="str">
        <f t="shared" ref="C87:C88" si="107">O87</f>
        <v>сумма договора в год</v>
      </c>
      <c r="D87" s="719">
        <f>1/20*E87</f>
        <v>0.8</v>
      </c>
      <c r="E87" s="720">
        <f>F13</f>
        <v>16</v>
      </c>
      <c r="F87" s="721">
        <v>1</v>
      </c>
      <c r="G87" s="722">
        <f>D87*F87/E87</f>
        <v>0.05</v>
      </c>
      <c r="H87" s="723">
        <f t="shared" ref="H87:H88" si="108">T87</f>
        <v>0</v>
      </c>
      <c r="I87" s="724"/>
      <c r="J87" s="725">
        <f t="shared" ref="J87" si="109">G87*H87</f>
        <v>0</v>
      </c>
      <c r="K87" s="900"/>
      <c r="L87" s="333"/>
      <c r="M87" s="644">
        <f t="shared" ref="M87:M88" si="110">X87</f>
        <v>2</v>
      </c>
      <c r="N87" s="645" t="str">
        <f t="shared" ref="N87:N88" si="111">Y87</f>
        <v>Услуги интернет</v>
      </c>
      <c r="O87" s="646" t="str">
        <f t="shared" ref="O87:O88" si="112">Z87</f>
        <v>сумма договора в год</v>
      </c>
      <c r="P87" s="612">
        <f>1/20*Q87</f>
        <v>0.2</v>
      </c>
      <c r="Q87" s="648">
        <f>R13</f>
        <v>4</v>
      </c>
      <c r="R87" s="649">
        <v>1</v>
      </c>
      <c r="S87" s="650">
        <f t="shared" ref="S87" si="113">P87*R87/Q87</f>
        <v>0.05</v>
      </c>
      <c r="T87" s="631">
        <f t="shared" ref="T87:T88" si="114">AE87</f>
        <v>0</v>
      </c>
      <c r="U87" s="651"/>
      <c r="V87" s="652">
        <f t="shared" ref="V87:V88" si="115">S87*T87</f>
        <v>0</v>
      </c>
      <c r="W87" s="900"/>
      <c r="X87" s="350">
        <v>2</v>
      </c>
      <c r="Y87" s="358" t="s">
        <v>358</v>
      </c>
      <c r="Z87" s="6" t="s">
        <v>130</v>
      </c>
      <c r="AA87" s="351"/>
      <c r="AB87" s="340"/>
      <c r="AC87" s="341"/>
      <c r="AD87" s="342"/>
      <c r="AE87" s="534">
        <v>0</v>
      </c>
      <c r="AF87" s="3"/>
      <c r="AG87" s="522">
        <f t="shared" ref="AG87:AG88" si="116">AD87*AE87</f>
        <v>0</v>
      </c>
      <c r="AH87" s="900"/>
      <c r="AI87" s="505">
        <f t="shared" ref="AI87:AI88" si="117">AA87+P87+D87</f>
        <v>1</v>
      </c>
      <c r="AJ87" s="461">
        <f t="shared" ref="AJ87:AJ88" si="118">AG87*AB87+V87*Q87+J87*E87</f>
        <v>0</v>
      </c>
      <c r="AK87" s="50">
        <v>0</v>
      </c>
      <c r="AL87" s="428">
        <f t="shared" ref="AL87:AL88" si="119">AK87-AJ87</f>
        <v>0</v>
      </c>
    </row>
    <row r="88" spans="1:44" ht="39.75" customHeight="1" thickBot="1">
      <c r="A88" s="669">
        <f t="shared" si="105"/>
        <v>3</v>
      </c>
      <c r="B88" s="714" t="str">
        <f t="shared" si="106"/>
        <v>Иные услуги связи</v>
      </c>
      <c r="C88" s="715" t="str">
        <f t="shared" si="107"/>
        <v>пересылка почтовых отправлений</v>
      </c>
      <c r="D88" s="719">
        <f>1/20*E88</f>
        <v>0.8</v>
      </c>
      <c r="E88" s="705">
        <f t="shared" ref="E88" si="120">F13</f>
        <v>16</v>
      </c>
      <c r="F88" s="706">
        <v>1</v>
      </c>
      <c r="G88" s="722">
        <f t="shared" ref="G88" si="121">D88*F88/E88</f>
        <v>0.05</v>
      </c>
      <c r="H88" s="723">
        <f t="shared" si="108"/>
        <v>1000</v>
      </c>
      <c r="I88" s="724"/>
      <c r="J88" s="709">
        <f>G88*H88</f>
        <v>50</v>
      </c>
      <c r="K88" s="900"/>
      <c r="L88" s="333"/>
      <c r="M88" s="644">
        <f t="shared" si="110"/>
        <v>3</v>
      </c>
      <c r="N88" s="645" t="str">
        <f t="shared" si="111"/>
        <v>Иные услуги связи</v>
      </c>
      <c r="O88" s="646" t="str">
        <f t="shared" si="112"/>
        <v>пересылка почтовых отправлений</v>
      </c>
      <c r="P88" s="612">
        <f>1/20*Q88</f>
        <v>0.2</v>
      </c>
      <c r="Q88" s="628">
        <f t="shared" ref="Q88" si="122">R13</f>
        <v>4</v>
      </c>
      <c r="R88" s="629">
        <v>1</v>
      </c>
      <c r="S88" s="650">
        <f t="shared" si="104"/>
        <v>0.05</v>
      </c>
      <c r="T88" s="631">
        <f t="shared" si="114"/>
        <v>1000</v>
      </c>
      <c r="U88" s="651"/>
      <c r="V88" s="652">
        <f t="shared" si="115"/>
        <v>50</v>
      </c>
      <c r="W88" s="900"/>
      <c r="X88" s="350">
        <v>3</v>
      </c>
      <c r="Y88" s="358" t="s">
        <v>25</v>
      </c>
      <c r="Z88" s="2" t="s">
        <v>95</v>
      </c>
      <c r="AA88" s="351"/>
      <c r="AB88" s="340"/>
      <c r="AC88" s="341"/>
      <c r="AD88" s="342"/>
      <c r="AE88" s="534">
        <v>1000</v>
      </c>
      <c r="AF88" s="3"/>
      <c r="AG88" s="522">
        <f t="shared" si="116"/>
        <v>0</v>
      </c>
      <c r="AH88" s="900"/>
      <c r="AI88" s="505">
        <f t="shared" si="117"/>
        <v>1</v>
      </c>
      <c r="AJ88" s="461">
        <f t="shared" si="118"/>
        <v>1000</v>
      </c>
      <c r="AK88" s="50">
        <v>1000</v>
      </c>
      <c r="AL88" s="428">
        <f t="shared" si="119"/>
        <v>0</v>
      </c>
    </row>
    <row r="89" spans="1:44" ht="16.5" thickBot="1">
      <c r="A89" s="861" t="s">
        <v>27</v>
      </c>
      <c r="B89" s="862"/>
      <c r="C89" s="862"/>
      <c r="D89" s="862"/>
      <c r="E89" s="862"/>
      <c r="F89" s="862"/>
      <c r="G89" s="862"/>
      <c r="H89" s="862"/>
      <c r="I89" s="863"/>
      <c r="J89" s="470">
        <f>SUM(J86:J88)</f>
        <v>933.58400000000006</v>
      </c>
      <c r="K89" s="901"/>
      <c r="L89" s="333"/>
      <c r="M89" s="881" t="s">
        <v>27</v>
      </c>
      <c r="N89" s="882"/>
      <c r="O89" s="882"/>
      <c r="P89" s="882"/>
      <c r="Q89" s="882"/>
      <c r="R89" s="882"/>
      <c r="S89" s="882"/>
      <c r="T89" s="882"/>
      <c r="U89" s="883"/>
      <c r="V89" s="643">
        <f>SUM(V86:V88)</f>
        <v>933.58400000000006</v>
      </c>
      <c r="W89" s="901"/>
      <c r="X89" s="911" t="s">
        <v>27</v>
      </c>
      <c r="Y89" s="911"/>
      <c r="Z89" s="911"/>
      <c r="AA89" s="911"/>
      <c r="AB89" s="911"/>
      <c r="AC89" s="911"/>
      <c r="AD89" s="911"/>
      <c r="AE89" s="911"/>
      <c r="AF89" s="911"/>
      <c r="AG89" s="360">
        <f>SUM(AG86:AG88)</f>
        <v>0</v>
      </c>
      <c r="AH89" s="901"/>
      <c r="AI89" s="497">
        <f>AG89*AB88+V89*Q88+J89*E88</f>
        <v>18671.68</v>
      </c>
      <c r="AJ89" s="462">
        <f>SUM(AJ86:AJ88)</f>
        <v>18671.68</v>
      </c>
      <c r="AK89" s="433">
        <f>AD148</f>
        <v>18671.68</v>
      </c>
      <c r="AM89" s="56">
        <v>221</v>
      </c>
    </row>
    <row r="90" spans="1:44" ht="15" customHeight="1">
      <c r="A90" s="818" t="s">
        <v>26</v>
      </c>
      <c r="B90" s="819"/>
      <c r="C90" s="819"/>
      <c r="D90" s="819"/>
      <c r="E90" s="819"/>
      <c r="F90" s="819"/>
      <c r="G90" s="819"/>
      <c r="H90" s="819"/>
      <c r="I90" s="819"/>
      <c r="J90" s="819"/>
      <c r="K90" s="820"/>
      <c r="L90" s="594"/>
      <c r="M90" s="818" t="s">
        <v>26</v>
      </c>
      <c r="N90" s="819"/>
      <c r="O90" s="819"/>
      <c r="P90" s="819"/>
      <c r="Q90" s="819"/>
      <c r="R90" s="819"/>
      <c r="S90" s="819"/>
      <c r="T90" s="819"/>
      <c r="U90" s="819"/>
      <c r="V90" s="819"/>
      <c r="W90" s="820"/>
      <c r="X90" s="818" t="s">
        <v>26</v>
      </c>
      <c r="Y90" s="819"/>
      <c r="Z90" s="819"/>
      <c r="AA90" s="819"/>
      <c r="AB90" s="819"/>
      <c r="AC90" s="819"/>
      <c r="AD90" s="819"/>
      <c r="AE90" s="819"/>
      <c r="AF90" s="819"/>
      <c r="AG90" s="819"/>
      <c r="AH90" s="808"/>
      <c r="AI90" s="332"/>
      <c r="AJ90" s="463"/>
      <c r="AK90" s="50">
        <f>AK89-AJ89</f>
        <v>0</v>
      </c>
    </row>
    <row r="91" spans="1:44" s="404" customFormat="1" ht="38.25">
      <c r="A91" s="523">
        <f>M91</f>
        <v>1</v>
      </c>
      <c r="B91" s="519" t="str">
        <f>N91</f>
        <v>Оплата грузовых перевозок по доставке грузов</v>
      </c>
      <c r="C91" s="524" t="str">
        <f>O91</f>
        <v>количество разовых услуг, ед.</v>
      </c>
      <c r="D91" s="525">
        <f>3/24*E91</f>
        <v>2</v>
      </c>
      <c r="E91" s="515">
        <f>E88</f>
        <v>16</v>
      </c>
      <c r="F91" s="516">
        <v>1</v>
      </c>
      <c r="G91" s="517">
        <f t="shared" ref="G91:G92" si="123">D91*F91/E91</f>
        <v>0.125</v>
      </c>
      <c r="H91" s="535">
        <f>T91</f>
        <v>5000</v>
      </c>
      <c r="I91" s="518"/>
      <c r="J91" s="526">
        <f>G91*H91</f>
        <v>625</v>
      </c>
      <c r="K91" s="888"/>
      <c r="L91" s="597"/>
      <c r="M91" s="653">
        <f>X91</f>
        <v>1</v>
      </c>
      <c r="N91" s="654" t="str">
        <f>Y91</f>
        <v>Оплата грузовых перевозок по доставке грузов</v>
      </c>
      <c r="O91" s="655" t="str">
        <f>Z91</f>
        <v>количество разовых услуг, ед.</v>
      </c>
      <c r="P91" s="656">
        <f>3/24*Q91</f>
        <v>0.5</v>
      </c>
      <c r="Q91" s="657">
        <f>Q86</f>
        <v>4</v>
      </c>
      <c r="R91" s="658">
        <v>1</v>
      </c>
      <c r="S91" s="659">
        <f t="shared" ref="S91:S92" si="124">P91*R91/Q91</f>
        <v>0.125</v>
      </c>
      <c r="T91" s="660">
        <f>AE91</f>
        <v>5000</v>
      </c>
      <c r="U91" s="661"/>
      <c r="V91" s="642">
        <f>S91*T91</f>
        <v>625</v>
      </c>
      <c r="W91" s="902"/>
      <c r="X91" s="551">
        <v>1</v>
      </c>
      <c r="Y91" s="546" t="s">
        <v>94</v>
      </c>
      <c r="Z91" s="547" t="s">
        <v>30</v>
      </c>
      <c r="AA91" s="538">
        <f>3/24*AB91</f>
        <v>0.5</v>
      </c>
      <c r="AB91" s="548">
        <f>AB77</f>
        <v>4</v>
      </c>
      <c r="AC91" s="539">
        <v>1</v>
      </c>
      <c r="AD91" s="342">
        <f>IFERROR(AA91*AC91/AB91,0)</f>
        <v>0.125</v>
      </c>
      <c r="AE91" s="538">
        <v>5000</v>
      </c>
      <c r="AF91" s="549"/>
      <c r="AG91" s="528">
        <f>AD91*AE91</f>
        <v>625</v>
      </c>
      <c r="AH91" s="875"/>
      <c r="AI91" s="529">
        <f>AA91+P91+D91</f>
        <v>3</v>
      </c>
      <c r="AJ91" s="506">
        <f>AG91*AB91+V91*Q91+J91*E91</f>
        <v>15000</v>
      </c>
      <c r="AK91" s="494">
        <v>15000</v>
      </c>
      <c r="AL91" s="494">
        <f>AK91-AJ91</f>
        <v>0</v>
      </c>
    </row>
    <row r="92" spans="1:44" s="404" customFormat="1" ht="45">
      <c r="A92" s="523">
        <f t="shared" ref="A92:A93" si="125">M92</f>
        <v>2</v>
      </c>
      <c r="B92" s="519" t="str">
        <f t="shared" ref="B92:B93" si="126">N92</f>
        <v>прочие транспортные расходы (сдача отчетов, доставка документоов)</v>
      </c>
      <c r="C92" s="524" t="str">
        <f t="shared" ref="C92:C93" si="127">O92</f>
        <v>сумма в год</v>
      </c>
      <c r="D92" s="525">
        <f>1/20*E92</f>
        <v>0.8</v>
      </c>
      <c r="E92" s="515">
        <f>E91</f>
        <v>16</v>
      </c>
      <c r="F92" s="516">
        <v>1</v>
      </c>
      <c r="G92" s="517">
        <f t="shared" si="123"/>
        <v>0.05</v>
      </c>
      <c r="H92" s="536">
        <f>T92</f>
        <v>6000</v>
      </c>
      <c r="I92" s="518"/>
      <c r="J92" s="526">
        <f>G92*H92</f>
        <v>300</v>
      </c>
      <c r="K92" s="888"/>
      <c r="L92" s="597"/>
      <c r="M92" s="653">
        <f t="shared" ref="M92:M93" si="128">X92</f>
        <v>2</v>
      </c>
      <c r="N92" s="654" t="str">
        <f t="shared" ref="N92:N93" si="129">Y92</f>
        <v>прочие транспортные расходы (сдача отчетов, доставка документоов)</v>
      </c>
      <c r="O92" s="655" t="str">
        <f t="shared" ref="O92:O93" si="130">Z92</f>
        <v>сумма в год</v>
      </c>
      <c r="P92" s="656">
        <f>1/20*Q92</f>
        <v>0.2</v>
      </c>
      <c r="Q92" s="657">
        <f>Q91</f>
        <v>4</v>
      </c>
      <c r="R92" s="658">
        <v>1</v>
      </c>
      <c r="S92" s="659">
        <f t="shared" si="124"/>
        <v>0.05</v>
      </c>
      <c r="T92" s="660">
        <f t="shared" ref="T92:T93" si="131">AE92</f>
        <v>6000</v>
      </c>
      <c r="U92" s="661"/>
      <c r="V92" s="642">
        <f>S92*T92</f>
        <v>300</v>
      </c>
      <c r="W92" s="902"/>
      <c r="X92" s="551">
        <v>2</v>
      </c>
      <c r="Y92" s="546" t="s">
        <v>303</v>
      </c>
      <c r="Z92" s="547" t="s">
        <v>52</v>
      </c>
      <c r="AA92" s="538"/>
      <c r="AB92" s="548">
        <f>AB79</f>
        <v>0</v>
      </c>
      <c r="AC92" s="539">
        <v>1</v>
      </c>
      <c r="AD92" s="342">
        <f t="shared" ref="AD92:AD93" si="132">IFERROR(AA92*AC92/AB92,0)</f>
        <v>0</v>
      </c>
      <c r="AE92" s="538">
        <v>6000</v>
      </c>
      <c r="AF92" s="549"/>
      <c r="AG92" s="528">
        <f>AD92*AE92</f>
        <v>0</v>
      </c>
      <c r="AH92" s="876"/>
      <c r="AI92" s="529">
        <f t="shared" ref="AI92:AI93" si="133">AA92+P92+D92</f>
        <v>1</v>
      </c>
      <c r="AJ92" s="506">
        <f t="shared" ref="AJ92:AJ93" si="134">AG92*AB92+V92*Q92+J92*E92</f>
        <v>6000</v>
      </c>
      <c r="AK92" s="494">
        <v>6000</v>
      </c>
      <c r="AL92" s="494">
        <f t="shared" ref="AL92:AL93" si="135">AK92-AJ92</f>
        <v>0</v>
      </c>
      <c r="AM92" s="530"/>
      <c r="AN92" s="530"/>
      <c r="AO92" s="530"/>
      <c r="AP92" s="530"/>
      <c r="AQ92" s="530"/>
    </row>
    <row r="93" spans="1:44" s="404" customFormat="1" ht="30">
      <c r="A93" s="523">
        <f t="shared" si="125"/>
        <v>3</v>
      </c>
      <c r="B93" s="519" t="str">
        <f t="shared" si="126"/>
        <v>Обеспечение доставки учащихся для проведения ЕГЭ</v>
      </c>
      <c r="C93" s="524" t="str">
        <f t="shared" si="127"/>
        <v>сумма в год</v>
      </c>
      <c r="D93" s="525">
        <f>1/20*E93</f>
        <v>0.8</v>
      </c>
      <c r="E93" s="515">
        <f>E92</f>
        <v>16</v>
      </c>
      <c r="F93" s="516">
        <v>1</v>
      </c>
      <c r="G93" s="517">
        <f t="shared" ref="G93" si="136">D93*F93/E93</f>
        <v>0.05</v>
      </c>
      <c r="H93" s="536">
        <f>T93</f>
        <v>60000</v>
      </c>
      <c r="I93" s="518"/>
      <c r="J93" s="526">
        <f>G93*H93</f>
        <v>3000</v>
      </c>
      <c r="K93" s="888"/>
      <c r="L93" s="597"/>
      <c r="M93" s="653">
        <f t="shared" si="128"/>
        <v>3</v>
      </c>
      <c r="N93" s="654" t="str">
        <f t="shared" si="129"/>
        <v>Обеспечение доставки учащихся для проведения ЕГЭ</v>
      </c>
      <c r="O93" s="655" t="str">
        <f t="shared" si="130"/>
        <v>сумма в год</v>
      </c>
      <c r="P93" s="656">
        <f>1/20*Q93</f>
        <v>0.2</v>
      </c>
      <c r="Q93" s="657">
        <f>Q92</f>
        <v>4</v>
      </c>
      <c r="R93" s="658">
        <v>1</v>
      </c>
      <c r="S93" s="659">
        <f t="shared" ref="S93" si="137">P93*R93/Q93</f>
        <v>0.05</v>
      </c>
      <c r="T93" s="660">
        <f t="shared" si="131"/>
        <v>60000</v>
      </c>
      <c r="U93" s="661"/>
      <c r="V93" s="642">
        <f>S93*T93</f>
        <v>3000</v>
      </c>
      <c r="W93" s="902"/>
      <c r="X93" s="551">
        <v>3</v>
      </c>
      <c r="Y93" s="546" t="s">
        <v>311</v>
      </c>
      <c r="Z93" s="550" t="s">
        <v>52</v>
      </c>
      <c r="AA93" s="538"/>
      <c r="AB93" s="548">
        <f>AB80</f>
        <v>0</v>
      </c>
      <c r="AC93" s="539">
        <v>1</v>
      </c>
      <c r="AD93" s="342">
        <f t="shared" si="132"/>
        <v>0</v>
      </c>
      <c r="AE93" s="538">
        <v>60000</v>
      </c>
      <c r="AF93" s="549"/>
      <c r="AG93" s="528">
        <f>AD93*AE93</f>
        <v>0</v>
      </c>
      <c r="AH93" s="876"/>
      <c r="AI93" s="529">
        <f t="shared" si="133"/>
        <v>1</v>
      </c>
      <c r="AJ93" s="506">
        <f t="shared" si="134"/>
        <v>60000</v>
      </c>
      <c r="AK93" s="561">
        <f>AB149+AC149</f>
        <v>60000</v>
      </c>
      <c r="AL93" s="494">
        <f t="shared" si="135"/>
        <v>0</v>
      </c>
      <c r="AM93" s="564" t="s">
        <v>352</v>
      </c>
      <c r="AN93" s="530"/>
      <c r="AO93" s="530"/>
      <c r="AP93" s="530"/>
      <c r="AQ93" s="530"/>
    </row>
    <row r="94" spans="1:44" ht="15.75">
      <c r="A94" s="867" t="s">
        <v>27</v>
      </c>
      <c r="B94" s="867"/>
      <c r="C94" s="867"/>
      <c r="D94" s="867"/>
      <c r="E94" s="867"/>
      <c r="F94" s="867"/>
      <c r="G94" s="867"/>
      <c r="H94" s="867"/>
      <c r="I94" s="867"/>
      <c r="J94" s="470">
        <f>SUM(J91:J93)</f>
        <v>3925</v>
      </c>
      <c r="K94" s="888"/>
      <c r="L94" s="333"/>
      <c r="M94" s="880" t="s">
        <v>27</v>
      </c>
      <c r="N94" s="880"/>
      <c r="O94" s="880"/>
      <c r="P94" s="880"/>
      <c r="Q94" s="880"/>
      <c r="R94" s="880"/>
      <c r="S94" s="880"/>
      <c r="T94" s="880"/>
      <c r="U94" s="880"/>
      <c r="V94" s="643">
        <f>SUM(V91:V93)</f>
        <v>3925</v>
      </c>
      <c r="W94" s="902"/>
      <c r="X94" s="923" t="s">
        <v>27</v>
      </c>
      <c r="Y94" s="923"/>
      <c r="Z94" s="923"/>
      <c r="AA94" s="923"/>
      <c r="AB94" s="923"/>
      <c r="AC94" s="923"/>
      <c r="AD94" s="923"/>
      <c r="AE94" s="923"/>
      <c r="AF94" s="923"/>
      <c r="AG94" s="472">
        <f>SUM(AG91:AG93)</f>
        <v>625</v>
      </c>
      <c r="AH94" s="877"/>
      <c r="AI94" s="497">
        <f>AG94*AB91+V94*Q93+J94*E93</f>
        <v>81000</v>
      </c>
      <c r="AJ94" s="462">
        <f>SUM(AJ91:AJ93)</f>
        <v>81000</v>
      </c>
      <c r="AK94" s="433">
        <f>AD149+AB149+AC149</f>
        <v>81000</v>
      </c>
      <c r="AL94" s="429">
        <f>AK94-AJ94</f>
        <v>0</v>
      </c>
      <c r="AM94" s="394"/>
      <c r="AN94" s="23"/>
      <c r="AO94" s="23"/>
      <c r="AP94" s="23"/>
      <c r="AQ94" s="23"/>
      <c r="AR94" s="23"/>
    </row>
    <row r="95" spans="1:44" ht="15" customHeight="1">
      <c r="A95" s="868" t="s">
        <v>66</v>
      </c>
      <c r="B95" s="869"/>
      <c r="C95" s="869"/>
      <c r="D95" s="869"/>
      <c r="E95" s="869"/>
      <c r="F95" s="869"/>
      <c r="G95" s="869"/>
      <c r="H95" s="869"/>
      <c r="I95" s="869"/>
      <c r="J95" s="869"/>
      <c r="K95" s="870"/>
      <c r="L95" s="594"/>
      <c r="M95" s="868" t="s">
        <v>66</v>
      </c>
      <c r="N95" s="869"/>
      <c r="O95" s="869"/>
      <c r="P95" s="869"/>
      <c r="Q95" s="869"/>
      <c r="R95" s="869"/>
      <c r="S95" s="869"/>
      <c r="T95" s="869"/>
      <c r="U95" s="869"/>
      <c r="V95" s="869"/>
      <c r="W95" s="870"/>
      <c r="X95" s="908" t="s">
        <v>66</v>
      </c>
      <c r="Y95" s="909"/>
      <c r="Z95" s="909"/>
      <c r="AA95" s="909"/>
      <c r="AB95" s="909"/>
      <c r="AC95" s="909"/>
      <c r="AD95" s="909"/>
      <c r="AE95" s="909"/>
      <c r="AF95" s="909"/>
      <c r="AG95" s="909"/>
      <c r="AH95" s="910"/>
      <c r="AI95" s="332"/>
      <c r="AJ95" s="463"/>
      <c r="AL95" s="429"/>
      <c r="AM95" s="23"/>
      <c r="AN95" s="23"/>
      <c r="AO95" s="23"/>
      <c r="AP95" s="23"/>
      <c r="AQ95" s="23"/>
      <c r="AR95" s="23"/>
    </row>
    <row r="96" spans="1:44" ht="27" customHeight="1">
      <c r="A96" s="669">
        <f>M96</f>
        <v>1</v>
      </c>
      <c r="B96" s="354" t="str">
        <f>N96</f>
        <v>Директор</v>
      </c>
      <c r="C96" s="715" t="s">
        <v>31</v>
      </c>
      <c r="D96" s="663">
        <f>1/24*E96</f>
        <v>0.66666666666666663</v>
      </c>
      <c r="E96" s="664">
        <f>E92</f>
        <v>16</v>
      </c>
      <c r="F96" s="665">
        <v>1</v>
      </c>
      <c r="G96" s="666">
        <f>D96*F96/E96</f>
        <v>4.1666666666666664E-2</v>
      </c>
      <c r="H96" s="667">
        <f>T96</f>
        <v>1112755.4699999848</v>
      </c>
      <c r="I96" s="593"/>
      <c r="J96" s="709">
        <f t="shared" ref="J96:J102" si="138">G96*H96</f>
        <v>46364.811249999366</v>
      </c>
      <c r="K96" s="875"/>
      <c r="L96" s="333"/>
      <c r="M96" s="644">
        <f>X96</f>
        <v>1</v>
      </c>
      <c r="N96" s="362" t="str">
        <f>Y96</f>
        <v>Директор</v>
      </c>
      <c r="O96" s="662" t="str">
        <f>Z96</f>
        <v>фонд оплаты труда</v>
      </c>
      <c r="P96" s="663">
        <f>1/24*Q96</f>
        <v>0.16666666666666666</v>
      </c>
      <c r="Q96" s="664">
        <f>Q92</f>
        <v>4</v>
      </c>
      <c r="R96" s="665">
        <v>1</v>
      </c>
      <c r="S96" s="666">
        <f>P96*R96/Q96</f>
        <v>4.1666666666666664E-2</v>
      </c>
      <c r="T96" s="667">
        <f>AE96</f>
        <v>1112755.4699999848</v>
      </c>
      <c r="U96" s="593"/>
      <c r="V96" s="668">
        <f t="shared" ref="V96:V102" si="139">S96*T96</f>
        <v>46364.811249999366</v>
      </c>
      <c r="W96" s="875"/>
      <c r="X96" s="350">
        <v>1</v>
      </c>
      <c r="Y96" s="382" t="s">
        <v>49</v>
      </c>
      <c r="Z96" s="6" t="s">
        <v>31</v>
      </c>
      <c r="AA96" s="339">
        <f>1/24*AB96</f>
        <v>0.16666666666666666</v>
      </c>
      <c r="AB96" s="375">
        <f>AC12</f>
        <v>4</v>
      </c>
      <c r="AC96" s="341">
        <v>1</v>
      </c>
      <c r="AD96" s="342">
        <f>IFERROR(AA96*AC96/AB96,0)</f>
        <v>4.1666666666666664E-2</v>
      </c>
      <c r="AE96" s="537">
        <f>(71220.908218125)*1.302*12</f>
        <v>1112755.4699999848</v>
      </c>
      <c r="AF96" s="7"/>
      <c r="AG96" s="359">
        <f>IFERROR(AD96*AE96,0)</f>
        <v>46364.811249999366</v>
      </c>
      <c r="AH96" s="875"/>
      <c r="AI96" s="327">
        <f>AA96+P96+D96</f>
        <v>1</v>
      </c>
      <c r="AJ96" s="461">
        <f>AG96*AB96+V96*Q96+J96*E96</f>
        <v>1112755.4699999848</v>
      </c>
      <c r="AK96" s="24"/>
      <c r="AL96" s="429"/>
      <c r="AM96" s="23">
        <v>1</v>
      </c>
      <c r="AN96" s="23"/>
      <c r="AO96" s="391"/>
      <c r="AP96" s="23"/>
      <c r="AQ96" s="23"/>
      <c r="AR96" s="23"/>
    </row>
    <row r="97" spans="1:44" ht="27" customHeight="1">
      <c r="A97" s="669">
        <f t="shared" ref="A97:A102" si="140">M97</f>
        <v>2</v>
      </c>
      <c r="B97" s="354" t="str">
        <f t="shared" ref="B97:B102" si="141">N97</f>
        <v>Зам.директора</v>
      </c>
      <c r="C97" s="715" t="s">
        <v>31</v>
      </c>
      <c r="D97" s="663">
        <f>0.25/24*E97</f>
        <v>0.16666666666666666</v>
      </c>
      <c r="E97" s="664">
        <f>E96</f>
        <v>16</v>
      </c>
      <c r="F97" s="665">
        <v>1</v>
      </c>
      <c r="G97" s="666">
        <f t="shared" ref="G97:G100" si="142">D97*F97/E97</f>
        <v>1.0416666666666666E-2</v>
      </c>
      <c r="H97" s="667">
        <f t="shared" ref="H97:H100" si="143">T97</f>
        <v>624960</v>
      </c>
      <c r="I97" s="593"/>
      <c r="J97" s="709">
        <f t="shared" si="138"/>
        <v>6510</v>
      </c>
      <c r="K97" s="876"/>
      <c r="L97" s="333"/>
      <c r="M97" s="669">
        <f t="shared" ref="M97:M102" si="144">X97</f>
        <v>2</v>
      </c>
      <c r="N97" s="362" t="str">
        <f t="shared" ref="N97:N102" si="145">Y97</f>
        <v>Зам.директора</v>
      </c>
      <c r="O97" s="662" t="str">
        <f t="shared" ref="O97:O102" si="146">Z97</f>
        <v>фонд оплаты труда</v>
      </c>
      <c r="P97" s="663">
        <f>0.25/24*Q97</f>
        <v>4.1666666666666664E-2</v>
      </c>
      <c r="Q97" s="664">
        <f>Q96</f>
        <v>4</v>
      </c>
      <c r="R97" s="665">
        <v>1</v>
      </c>
      <c r="S97" s="666">
        <f t="shared" ref="S97:S100" si="147">P97*R97/Q97</f>
        <v>1.0416666666666666E-2</v>
      </c>
      <c r="T97" s="667">
        <f t="shared" ref="T97:T102" si="148">AE97</f>
        <v>624960</v>
      </c>
      <c r="U97" s="593"/>
      <c r="V97" s="668">
        <f t="shared" si="139"/>
        <v>6510</v>
      </c>
      <c r="W97" s="876"/>
      <c r="X97" s="350">
        <v>2</v>
      </c>
      <c r="Y97" s="382" t="s">
        <v>50</v>
      </c>
      <c r="Z97" s="6" t="s">
        <v>31</v>
      </c>
      <c r="AA97" s="339">
        <f>0.25/24*AB97</f>
        <v>4.1666666666666664E-2</v>
      </c>
      <c r="AB97" s="375">
        <f>AB96</f>
        <v>4</v>
      </c>
      <c r="AC97" s="341">
        <v>1</v>
      </c>
      <c r="AD97" s="342">
        <f t="shared" ref="AD97:AD102" si="149">IFERROR(AA97*AC97/AB97,0)</f>
        <v>1.0416666666666666E-2</v>
      </c>
      <c r="AE97" s="537">
        <f>(10000)/0.25*1.302*12</f>
        <v>624960</v>
      </c>
      <c r="AF97" s="7"/>
      <c r="AG97" s="359">
        <f t="shared" ref="AG97:AG102" si="150">IFERROR(AD97*AE97,0)</f>
        <v>6510</v>
      </c>
      <c r="AH97" s="876"/>
      <c r="AI97" s="327">
        <f t="shared" ref="AI97:AI102" si="151">AA97+P97+D97</f>
        <v>0.25</v>
      </c>
      <c r="AJ97" s="461">
        <f t="shared" ref="AJ97:AJ102" si="152">AG97*AB97+V97*Q97+J97*E97</f>
        <v>156240</v>
      </c>
      <c r="AK97" s="331">
        <f>AJ96+AJ97</f>
        <v>1268995.4699999848</v>
      </c>
      <c r="AL97" s="431">
        <f>AB145</f>
        <v>1268995.47</v>
      </c>
      <c r="AM97" s="23">
        <v>0.25</v>
      </c>
      <c r="AN97" s="23"/>
      <c r="AO97" s="23"/>
      <c r="AP97" s="23"/>
      <c r="AQ97" s="23"/>
      <c r="AR97" s="23"/>
    </row>
    <row r="98" spans="1:44" ht="33" customHeight="1">
      <c r="A98" s="669">
        <f t="shared" si="140"/>
        <v>7</v>
      </c>
      <c r="B98" s="354" t="str">
        <f t="shared" si="141"/>
        <v>Рабочий по обслуживанию и ремонту зданий</v>
      </c>
      <c r="C98" s="715" t="s">
        <v>31</v>
      </c>
      <c r="D98" s="663">
        <f>3.5/20*E98</f>
        <v>2.8</v>
      </c>
      <c r="E98" s="664">
        <f>E97</f>
        <v>16</v>
      </c>
      <c r="F98" s="665">
        <v>1</v>
      </c>
      <c r="G98" s="666">
        <f t="shared" si="142"/>
        <v>0.17499999999999999</v>
      </c>
      <c r="H98" s="667">
        <f t="shared" si="143"/>
        <v>396402.75360000005</v>
      </c>
      <c r="I98" s="593"/>
      <c r="J98" s="709">
        <f t="shared" si="138"/>
        <v>69370.481880000007</v>
      </c>
      <c r="K98" s="876"/>
      <c r="L98" s="333"/>
      <c r="M98" s="669">
        <f t="shared" si="144"/>
        <v>7</v>
      </c>
      <c r="N98" s="362" t="str">
        <f t="shared" si="145"/>
        <v>Рабочий по обслуживанию и ремонту зданий</v>
      </c>
      <c r="O98" s="662" t="str">
        <f t="shared" si="146"/>
        <v>фонд оплаты труда</v>
      </c>
      <c r="P98" s="663">
        <f>3.5/20*Q98</f>
        <v>0.7</v>
      </c>
      <c r="Q98" s="664">
        <f>Q97</f>
        <v>4</v>
      </c>
      <c r="R98" s="665">
        <v>1</v>
      </c>
      <c r="S98" s="666">
        <f t="shared" si="147"/>
        <v>0.17499999999999999</v>
      </c>
      <c r="T98" s="667">
        <f t="shared" si="148"/>
        <v>396402.75360000005</v>
      </c>
      <c r="U98" s="593"/>
      <c r="V98" s="668">
        <f t="shared" si="139"/>
        <v>69370.481880000007</v>
      </c>
      <c r="W98" s="876"/>
      <c r="X98" s="350">
        <v>7</v>
      </c>
      <c r="Y98" s="382" t="s">
        <v>51</v>
      </c>
      <c r="Z98" s="6" t="s">
        <v>31</v>
      </c>
      <c r="AA98" s="339"/>
      <c r="AB98" s="375">
        <f>AB97</f>
        <v>4</v>
      </c>
      <c r="AC98" s="341">
        <v>1</v>
      </c>
      <c r="AD98" s="342">
        <f t="shared" si="149"/>
        <v>0</v>
      </c>
      <c r="AE98" s="537">
        <f t="shared" ref="AE98:AE101" si="153">(25371.4)/1*12*1.302</f>
        <v>396402.75360000005</v>
      </c>
      <c r="AF98" s="7"/>
      <c r="AG98" s="359">
        <f t="shared" si="150"/>
        <v>0</v>
      </c>
      <c r="AH98" s="876"/>
      <c r="AI98" s="327">
        <f t="shared" si="151"/>
        <v>3.5</v>
      </c>
      <c r="AJ98" s="464">
        <f t="shared" si="152"/>
        <v>1387409.6376</v>
      </c>
      <c r="AK98" s="590">
        <f>AL97-AK97</f>
        <v>1.5133991837501526E-8</v>
      </c>
      <c r="AL98" s="467"/>
      <c r="AM98" s="100">
        <v>3.5</v>
      </c>
      <c r="AN98" s="23"/>
      <c r="AO98" s="391"/>
      <c r="AP98" s="23"/>
      <c r="AQ98" s="23"/>
      <c r="AR98" s="23"/>
    </row>
    <row r="99" spans="1:44" ht="27" customHeight="1">
      <c r="A99" s="669">
        <f t="shared" si="140"/>
        <v>9</v>
      </c>
      <c r="B99" s="354" t="str">
        <f t="shared" si="141"/>
        <v>Сторож</v>
      </c>
      <c r="C99" s="715" t="s">
        <v>31</v>
      </c>
      <c r="D99" s="663">
        <f>3/20*E99</f>
        <v>2.4</v>
      </c>
      <c r="E99" s="664">
        <f t="shared" ref="E99:E102" si="154">E98</f>
        <v>16</v>
      </c>
      <c r="F99" s="665">
        <v>1</v>
      </c>
      <c r="G99" s="666">
        <f t="shared" si="142"/>
        <v>0.15</v>
      </c>
      <c r="H99" s="667">
        <f t="shared" si="143"/>
        <v>396402.75360000005</v>
      </c>
      <c r="I99" s="593"/>
      <c r="J99" s="709">
        <f t="shared" si="138"/>
        <v>59460.413040000007</v>
      </c>
      <c r="K99" s="876"/>
      <c r="L99" s="333"/>
      <c r="M99" s="669">
        <f t="shared" si="144"/>
        <v>9</v>
      </c>
      <c r="N99" s="362" t="str">
        <f t="shared" si="145"/>
        <v>Сторож</v>
      </c>
      <c r="O99" s="662" t="str">
        <f t="shared" si="146"/>
        <v>фонд оплаты труда</v>
      </c>
      <c r="P99" s="663">
        <f>3/20*Q99</f>
        <v>0.6</v>
      </c>
      <c r="Q99" s="664">
        <f t="shared" ref="Q99:Q102" si="155">Q98</f>
        <v>4</v>
      </c>
      <c r="R99" s="665">
        <v>1</v>
      </c>
      <c r="S99" s="666">
        <f t="shared" si="147"/>
        <v>0.15</v>
      </c>
      <c r="T99" s="667">
        <f t="shared" si="148"/>
        <v>396402.75360000005</v>
      </c>
      <c r="U99" s="593"/>
      <c r="V99" s="668">
        <f t="shared" si="139"/>
        <v>59460.413040000007</v>
      </c>
      <c r="W99" s="876"/>
      <c r="X99" s="350">
        <v>9</v>
      </c>
      <c r="Y99" s="383" t="s">
        <v>132</v>
      </c>
      <c r="Z99" s="6" t="s">
        <v>31</v>
      </c>
      <c r="AA99" s="339"/>
      <c r="AB99" s="375">
        <f t="shared" ref="AB99:AB102" si="156">AB98</f>
        <v>4</v>
      </c>
      <c r="AC99" s="341">
        <v>1</v>
      </c>
      <c r="AD99" s="342">
        <f t="shared" si="149"/>
        <v>0</v>
      </c>
      <c r="AE99" s="537">
        <f t="shared" si="153"/>
        <v>396402.75360000005</v>
      </c>
      <c r="AF99" s="7"/>
      <c r="AG99" s="359">
        <f t="shared" si="150"/>
        <v>0</v>
      </c>
      <c r="AH99" s="876"/>
      <c r="AI99" s="327">
        <f t="shared" si="151"/>
        <v>3</v>
      </c>
      <c r="AJ99" s="464">
        <f t="shared" si="152"/>
        <v>1189208.2608</v>
      </c>
      <c r="AK99" s="331"/>
      <c r="AL99" s="429"/>
      <c r="AM99" s="100">
        <v>3</v>
      </c>
      <c r="AN99" s="23"/>
      <c r="AO99" s="23"/>
      <c r="AP99" s="23"/>
      <c r="AQ99" s="23"/>
      <c r="AR99" s="23"/>
    </row>
    <row r="100" spans="1:44" ht="27" customHeight="1">
      <c r="A100" s="669">
        <f t="shared" si="140"/>
        <v>10</v>
      </c>
      <c r="B100" s="354" t="str">
        <f t="shared" si="141"/>
        <v>Дворник</v>
      </c>
      <c r="C100" s="715" t="s">
        <v>31</v>
      </c>
      <c r="D100" s="663">
        <f>0.75/20*E100</f>
        <v>0.6</v>
      </c>
      <c r="E100" s="664">
        <f t="shared" si="154"/>
        <v>16</v>
      </c>
      <c r="F100" s="665">
        <v>1</v>
      </c>
      <c r="G100" s="666">
        <f t="shared" si="142"/>
        <v>3.7499999999999999E-2</v>
      </c>
      <c r="H100" s="667">
        <f t="shared" si="143"/>
        <v>396402.75360000005</v>
      </c>
      <c r="I100" s="593"/>
      <c r="J100" s="709">
        <f t="shared" si="138"/>
        <v>14865.103260000002</v>
      </c>
      <c r="K100" s="876"/>
      <c r="L100" s="333"/>
      <c r="M100" s="669">
        <f t="shared" si="144"/>
        <v>10</v>
      </c>
      <c r="N100" s="362" t="str">
        <f t="shared" si="145"/>
        <v>Дворник</v>
      </c>
      <c r="O100" s="662" t="str">
        <f t="shared" si="146"/>
        <v>фонд оплаты труда</v>
      </c>
      <c r="P100" s="663">
        <f>0.75/20*Q100</f>
        <v>0.15</v>
      </c>
      <c r="Q100" s="664">
        <f t="shared" si="155"/>
        <v>4</v>
      </c>
      <c r="R100" s="665">
        <v>1</v>
      </c>
      <c r="S100" s="666">
        <f t="shared" si="147"/>
        <v>3.7499999999999999E-2</v>
      </c>
      <c r="T100" s="667">
        <f t="shared" si="148"/>
        <v>396402.75360000005</v>
      </c>
      <c r="U100" s="593"/>
      <c r="V100" s="668">
        <f t="shared" si="139"/>
        <v>14865.103260000002</v>
      </c>
      <c r="W100" s="876"/>
      <c r="X100" s="350">
        <v>10</v>
      </c>
      <c r="Y100" s="414" t="s">
        <v>97</v>
      </c>
      <c r="Z100" s="6" t="s">
        <v>31</v>
      </c>
      <c r="AA100" s="339"/>
      <c r="AB100" s="375">
        <f t="shared" si="156"/>
        <v>4</v>
      </c>
      <c r="AC100" s="341">
        <v>1</v>
      </c>
      <c r="AD100" s="342">
        <f t="shared" si="149"/>
        <v>0</v>
      </c>
      <c r="AE100" s="537">
        <f t="shared" si="153"/>
        <v>396402.75360000005</v>
      </c>
      <c r="AF100" s="7"/>
      <c r="AG100" s="359">
        <f t="shared" si="150"/>
        <v>0</v>
      </c>
      <c r="AH100" s="876"/>
      <c r="AI100" s="327">
        <f t="shared" si="151"/>
        <v>0.75</v>
      </c>
      <c r="AJ100" s="464">
        <f t="shared" si="152"/>
        <v>297302.06520000001</v>
      </c>
      <c r="AK100" s="331"/>
      <c r="AL100" s="429"/>
      <c r="AM100" s="100">
        <v>0.75</v>
      </c>
      <c r="AN100" s="23"/>
      <c r="AO100" s="23"/>
      <c r="AP100" s="23"/>
      <c r="AQ100" s="23"/>
      <c r="AR100" s="23"/>
    </row>
    <row r="101" spans="1:44" ht="27" customHeight="1">
      <c r="A101" s="669">
        <f t="shared" si="140"/>
        <v>12</v>
      </c>
      <c r="B101" s="354" t="str">
        <f t="shared" si="141"/>
        <v>Уборщик</v>
      </c>
      <c r="C101" s="715" t="s">
        <v>31</v>
      </c>
      <c r="D101" s="365">
        <f>1.5/20*E101</f>
        <v>1.2</v>
      </c>
      <c r="E101" s="664">
        <f t="shared" si="154"/>
        <v>16</v>
      </c>
      <c r="F101" s="665">
        <v>1</v>
      </c>
      <c r="G101" s="666">
        <f t="shared" ref="G101:G102" si="157">D101*F101/E101</f>
        <v>7.4999999999999997E-2</v>
      </c>
      <c r="H101" s="667">
        <f t="shared" ref="H101:H102" si="158">T101</f>
        <v>396402.75360000005</v>
      </c>
      <c r="I101" s="593"/>
      <c r="J101" s="709">
        <f t="shared" si="138"/>
        <v>29730.206520000003</v>
      </c>
      <c r="K101" s="876"/>
      <c r="L101" s="333"/>
      <c r="M101" s="669">
        <f t="shared" si="144"/>
        <v>12</v>
      </c>
      <c r="N101" s="362" t="str">
        <f t="shared" si="145"/>
        <v>Уборщик</v>
      </c>
      <c r="O101" s="662" t="str">
        <f t="shared" si="146"/>
        <v>фонд оплаты труда</v>
      </c>
      <c r="P101" s="365">
        <f>1.5/20*Q101</f>
        <v>0.3</v>
      </c>
      <c r="Q101" s="664">
        <f t="shared" si="155"/>
        <v>4</v>
      </c>
      <c r="R101" s="665">
        <v>1</v>
      </c>
      <c r="S101" s="666">
        <f t="shared" ref="S101:S102" si="159">P101*R101/Q101</f>
        <v>7.4999999999999997E-2</v>
      </c>
      <c r="T101" s="667">
        <f t="shared" si="148"/>
        <v>396402.75360000005</v>
      </c>
      <c r="U101" s="593"/>
      <c r="V101" s="668">
        <f t="shared" si="139"/>
        <v>29730.206520000003</v>
      </c>
      <c r="W101" s="876"/>
      <c r="X101" s="350">
        <v>12</v>
      </c>
      <c r="Y101" s="384" t="s">
        <v>54</v>
      </c>
      <c r="Z101" s="6" t="s">
        <v>31</v>
      </c>
      <c r="AA101" s="339"/>
      <c r="AB101" s="375">
        <f t="shared" si="156"/>
        <v>4</v>
      </c>
      <c r="AC101" s="341">
        <v>1</v>
      </c>
      <c r="AD101" s="342">
        <f t="shared" si="149"/>
        <v>0</v>
      </c>
      <c r="AE101" s="537">
        <f t="shared" si="153"/>
        <v>396402.75360000005</v>
      </c>
      <c r="AF101" s="7"/>
      <c r="AG101" s="359">
        <f t="shared" si="150"/>
        <v>0</v>
      </c>
      <c r="AH101" s="876"/>
      <c r="AI101" s="327">
        <f t="shared" si="151"/>
        <v>1.5</v>
      </c>
      <c r="AJ101" s="464">
        <f t="shared" si="152"/>
        <v>594604.13040000002</v>
      </c>
      <c r="AK101" s="331">
        <f>SUM(AJ98:AJ102)</f>
        <v>3864926.5900000036</v>
      </c>
      <c r="AL101" s="435">
        <f>AD145</f>
        <v>3864926.59</v>
      </c>
      <c r="AM101" s="100">
        <v>1.5</v>
      </c>
      <c r="AN101" s="391"/>
      <c r="AO101" s="23"/>
      <c r="AP101" s="23"/>
      <c r="AQ101" s="23"/>
      <c r="AR101" s="23"/>
    </row>
    <row r="102" spans="1:44" s="329" customFormat="1" ht="27" customHeight="1">
      <c r="A102" s="592">
        <f t="shared" si="140"/>
        <v>13</v>
      </c>
      <c r="B102" s="579" t="str">
        <f t="shared" si="141"/>
        <v>Повар</v>
      </c>
      <c r="C102" s="580" t="s">
        <v>31</v>
      </c>
      <c r="D102" s="365">
        <f>1/20*E102</f>
        <v>0.8</v>
      </c>
      <c r="E102" s="664">
        <f t="shared" si="154"/>
        <v>16</v>
      </c>
      <c r="F102" s="366">
        <v>1</v>
      </c>
      <c r="G102" s="367">
        <f t="shared" si="157"/>
        <v>0.05</v>
      </c>
      <c r="H102" s="540">
        <f t="shared" si="158"/>
        <v>396402.49600000307</v>
      </c>
      <c r="I102" s="591"/>
      <c r="J102" s="581">
        <f t="shared" si="138"/>
        <v>19820.124800000154</v>
      </c>
      <c r="K102" s="876"/>
      <c r="L102" s="333"/>
      <c r="M102" s="669">
        <f t="shared" si="144"/>
        <v>13</v>
      </c>
      <c r="N102" s="362" t="str">
        <f t="shared" si="145"/>
        <v>Повар</v>
      </c>
      <c r="O102" s="662" t="str">
        <f t="shared" si="146"/>
        <v>фонд оплаты труда</v>
      </c>
      <c r="P102" s="365">
        <f>1/20*Q102</f>
        <v>0.2</v>
      </c>
      <c r="Q102" s="664">
        <f t="shared" si="155"/>
        <v>4</v>
      </c>
      <c r="R102" s="366">
        <v>1</v>
      </c>
      <c r="S102" s="367">
        <f t="shared" si="159"/>
        <v>0.05</v>
      </c>
      <c r="T102" s="667">
        <f t="shared" si="148"/>
        <v>396402.49600000307</v>
      </c>
      <c r="U102" s="591"/>
      <c r="V102" s="668">
        <f t="shared" si="139"/>
        <v>19820.124800000154</v>
      </c>
      <c r="W102" s="876"/>
      <c r="X102" s="350">
        <v>13</v>
      </c>
      <c r="Y102" s="414" t="s">
        <v>236</v>
      </c>
      <c r="Z102" s="6" t="s">
        <v>31</v>
      </c>
      <c r="AA102" s="364"/>
      <c r="AB102" s="375">
        <f t="shared" si="156"/>
        <v>4</v>
      </c>
      <c r="AC102" s="341">
        <v>1</v>
      </c>
      <c r="AD102" s="342">
        <f t="shared" si="149"/>
        <v>0</v>
      </c>
      <c r="AE102" s="537">
        <f>(25371.383512545)/1*12*1.302</f>
        <v>396402.49600000307</v>
      </c>
      <c r="AF102" s="401"/>
      <c r="AG102" s="359">
        <f t="shared" si="150"/>
        <v>0</v>
      </c>
      <c r="AH102" s="876"/>
      <c r="AI102" s="327">
        <f t="shared" si="151"/>
        <v>1</v>
      </c>
      <c r="AJ102" s="464">
        <f t="shared" si="152"/>
        <v>396402.49600000307</v>
      </c>
      <c r="AK102" s="552">
        <f>AL101-AK101</f>
        <v>-3.7252902984619141E-9</v>
      </c>
      <c r="AL102" s="430"/>
      <c r="AM102" s="100">
        <v>1</v>
      </c>
      <c r="AN102" s="391"/>
      <c r="AO102" s="23"/>
      <c r="AP102" s="23"/>
      <c r="AQ102" s="23"/>
      <c r="AR102" s="23"/>
    </row>
    <row r="103" spans="1:44">
      <c r="A103" s="861" t="s">
        <v>27</v>
      </c>
      <c r="B103" s="862"/>
      <c r="C103" s="862"/>
      <c r="D103" s="862"/>
      <c r="E103" s="862"/>
      <c r="F103" s="862"/>
      <c r="G103" s="862"/>
      <c r="H103" s="862"/>
      <c r="I103" s="863"/>
      <c r="J103" s="470">
        <f>SUM(J96:J102)</f>
        <v>246121.14074999955</v>
      </c>
      <c r="K103" s="877"/>
      <c r="L103" s="333"/>
      <c r="M103" s="881" t="s">
        <v>27</v>
      </c>
      <c r="N103" s="882"/>
      <c r="O103" s="882"/>
      <c r="P103" s="882"/>
      <c r="Q103" s="882"/>
      <c r="R103" s="882"/>
      <c r="S103" s="882"/>
      <c r="T103" s="882"/>
      <c r="U103" s="883"/>
      <c r="V103" s="471">
        <f>SUM(V96:V102)</f>
        <v>246121.14074999955</v>
      </c>
      <c r="W103" s="877"/>
      <c r="X103" s="911" t="s">
        <v>27</v>
      </c>
      <c r="Y103" s="911"/>
      <c r="Z103" s="911"/>
      <c r="AA103" s="911"/>
      <c r="AB103" s="911"/>
      <c r="AC103" s="911"/>
      <c r="AD103" s="911"/>
      <c r="AE103" s="911"/>
      <c r="AF103" s="911"/>
      <c r="AG103" s="360">
        <f>SUM(AG96:AG102)</f>
        <v>52874.811249999366</v>
      </c>
      <c r="AH103" s="877"/>
      <c r="AI103" s="497">
        <f>AG103*AB102+V103*Q102+J103*E102</f>
        <v>5133922.0599999884</v>
      </c>
      <c r="AJ103" s="462">
        <f>SUM(AJ96:AJ102)</f>
        <v>5133922.0599999884</v>
      </c>
      <c r="AL103" s="468"/>
      <c r="AM103" s="23"/>
      <c r="AN103" s="392"/>
      <c r="AO103" s="393"/>
      <c r="AP103" s="395"/>
      <c r="AQ103" s="393"/>
      <c r="AR103" s="23"/>
    </row>
    <row r="104" spans="1:44" ht="15" customHeight="1">
      <c r="A104" s="871" t="s">
        <v>65</v>
      </c>
      <c r="B104" s="872"/>
      <c r="C104" s="872"/>
      <c r="D104" s="872"/>
      <c r="E104" s="872"/>
      <c r="F104" s="872"/>
      <c r="G104" s="872"/>
      <c r="H104" s="872"/>
      <c r="I104" s="872"/>
      <c r="J104" s="872"/>
      <c r="K104" s="873"/>
      <c r="L104" s="594"/>
      <c r="M104" s="871" t="s">
        <v>65</v>
      </c>
      <c r="N104" s="872"/>
      <c r="O104" s="872"/>
      <c r="P104" s="872"/>
      <c r="Q104" s="872"/>
      <c r="R104" s="872"/>
      <c r="S104" s="872"/>
      <c r="T104" s="872"/>
      <c r="U104" s="872"/>
      <c r="V104" s="872"/>
      <c r="W104" s="873"/>
      <c r="X104" s="806" t="s">
        <v>65</v>
      </c>
      <c r="Y104" s="819"/>
      <c r="Z104" s="807"/>
      <c r="AA104" s="807"/>
      <c r="AB104" s="807"/>
      <c r="AC104" s="807"/>
      <c r="AD104" s="807"/>
      <c r="AE104" s="807"/>
      <c r="AF104" s="807"/>
      <c r="AG104" s="819"/>
      <c r="AH104" s="808"/>
      <c r="AI104" s="457">
        <f>AJ103-AI103</f>
        <v>0</v>
      </c>
      <c r="AJ104" s="463"/>
      <c r="AL104" s="429"/>
      <c r="AM104" s="23"/>
      <c r="AN104" s="23"/>
      <c r="AO104" s="23"/>
      <c r="AP104" s="23"/>
      <c r="AQ104" s="23"/>
      <c r="AR104" s="23"/>
    </row>
    <row r="105" spans="1:44" s="404" customFormat="1">
      <c r="A105" s="518">
        <f>M105</f>
        <v>1</v>
      </c>
      <c r="B105" s="584" t="str">
        <f>N105</f>
        <v>Медикаменты</v>
      </c>
      <c r="C105" s="670" t="str">
        <f>O105</f>
        <v>сумма в год</v>
      </c>
      <c r="D105" s="583">
        <f t="shared" ref="D105:D127" si="160">1/20*E105</f>
        <v>0.8</v>
      </c>
      <c r="E105" s="671">
        <f>F12</f>
        <v>16</v>
      </c>
      <c r="F105" s="672">
        <v>1</v>
      </c>
      <c r="G105" s="673">
        <f t="shared" ref="G105:G117" si="161">D105*F105/E105</f>
        <v>0.05</v>
      </c>
      <c r="H105" s="726">
        <f>T105</f>
        <v>2000</v>
      </c>
      <c r="I105" s="727"/>
      <c r="J105" s="526">
        <f t="shared" ref="J105:J117" si="162">G105*H105</f>
        <v>100</v>
      </c>
      <c r="K105" s="888"/>
      <c r="L105" s="597"/>
      <c r="M105" s="518">
        <f>X105</f>
        <v>1</v>
      </c>
      <c r="N105" s="582" t="str">
        <f>Y105</f>
        <v>Медикаменты</v>
      </c>
      <c r="O105" s="670" t="str">
        <f>Z105</f>
        <v>сумма в год</v>
      </c>
      <c r="P105" s="583">
        <f t="shared" ref="P105:P127" si="163">1/20*Q105</f>
        <v>0.2</v>
      </c>
      <c r="Q105" s="671">
        <f>R12</f>
        <v>4</v>
      </c>
      <c r="R105" s="672">
        <v>1</v>
      </c>
      <c r="S105" s="673">
        <f t="shared" ref="S105:S117" si="164">P105*R105/Q105</f>
        <v>0.05</v>
      </c>
      <c r="T105" s="674">
        <f>AE105</f>
        <v>2000</v>
      </c>
      <c r="U105" s="518"/>
      <c r="V105" s="527">
        <f t="shared" ref="V105:V130" si="165">S105*T105</f>
        <v>100</v>
      </c>
      <c r="W105" s="888"/>
      <c r="X105" s="503">
        <v>1</v>
      </c>
      <c r="Y105" s="557" t="s">
        <v>114</v>
      </c>
      <c r="Z105" s="531" t="s">
        <v>52</v>
      </c>
      <c r="AA105" s="553"/>
      <c r="AB105" s="504">
        <f>AB101</f>
        <v>4</v>
      </c>
      <c r="AC105" s="500">
        <v>1</v>
      </c>
      <c r="AD105" s="501">
        <f>IFERROR(AA105*AC105/AB105,0)</f>
        <v>0</v>
      </c>
      <c r="AE105" s="554">
        <v>2000</v>
      </c>
      <c r="AF105" s="503"/>
      <c r="AG105" s="406">
        <f t="shared" ref="AG105:AG130" si="166">IFERROR(AD105*AE105,0)</f>
        <v>0</v>
      </c>
      <c r="AH105" s="917"/>
      <c r="AI105" s="529">
        <f>AA105+P105+D105</f>
        <v>1</v>
      </c>
      <c r="AJ105" s="506">
        <f>AG105*AB105+V105*Q105+J105*E105</f>
        <v>2000</v>
      </c>
      <c r="AK105" s="530">
        <v>340</v>
      </c>
      <c r="AL105" s="571">
        <v>2000</v>
      </c>
      <c r="AM105" s="559">
        <f>AL105-AJ105</f>
        <v>0</v>
      </c>
      <c r="AN105" s="530"/>
      <c r="AO105" s="530"/>
      <c r="AP105" s="530"/>
      <c r="AQ105" s="530"/>
      <c r="AR105" s="530"/>
    </row>
    <row r="106" spans="1:44" s="404" customFormat="1">
      <c r="A106" s="518">
        <f t="shared" ref="A106:A131" si="167">M106</f>
        <v>2</v>
      </c>
      <c r="B106" s="584" t="str">
        <f t="shared" ref="B106:B131" si="168">N106</f>
        <v>Услуги Семис</v>
      </c>
      <c r="C106" s="670" t="str">
        <f t="shared" ref="C106:C130" si="169">O106</f>
        <v>сумма в год</v>
      </c>
      <c r="D106" s="583">
        <f t="shared" si="160"/>
        <v>0.8</v>
      </c>
      <c r="E106" s="671">
        <f>E105</f>
        <v>16</v>
      </c>
      <c r="F106" s="672">
        <v>1</v>
      </c>
      <c r="G106" s="673">
        <f t="shared" si="161"/>
        <v>0.05</v>
      </c>
      <c r="H106" s="726">
        <f t="shared" ref="H106:H130" si="170">T106</f>
        <v>1000</v>
      </c>
      <c r="I106" s="727"/>
      <c r="J106" s="526">
        <f t="shared" si="162"/>
        <v>50</v>
      </c>
      <c r="K106" s="888"/>
      <c r="L106" s="597"/>
      <c r="M106" s="518">
        <f t="shared" ref="M106:M131" si="171">X106</f>
        <v>2</v>
      </c>
      <c r="N106" s="582" t="str">
        <f t="shared" ref="N106:N131" si="172">Y106</f>
        <v>Услуги Семис</v>
      </c>
      <c r="O106" s="670" t="str">
        <f t="shared" ref="O106:O131" si="173">Z106</f>
        <v>сумма в год</v>
      </c>
      <c r="P106" s="583">
        <f t="shared" si="163"/>
        <v>0.2</v>
      </c>
      <c r="Q106" s="671">
        <f>Q105</f>
        <v>4</v>
      </c>
      <c r="R106" s="672">
        <v>1</v>
      </c>
      <c r="S106" s="673">
        <f t="shared" si="164"/>
        <v>0.05</v>
      </c>
      <c r="T106" s="674">
        <f t="shared" ref="T106:T131" si="174">AE106</f>
        <v>1000</v>
      </c>
      <c r="U106" s="518"/>
      <c r="V106" s="527">
        <f t="shared" si="165"/>
        <v>50</v>
      </c>
      <c r="W106" s="888"/>
      <c r="X106" s="503">
        <v>2</v>
      </c>
      <c r="Y106" s="557" t="s">
        <v>307</v>
      </c>
      <c r="Z106" s="531" t="s">
        <v>52</v>
      </c>
      <c r="AA106" s="553"/>
      <c r="AB106" s="504">
        <f>AB105</f>
        <v>4</v>
      </c>
      <c r="AC106" s="500">
        <v>1</v>
      </c>
      <c r="AD106" s="501">
        <f t="shared" ref="AD106:AD130" si="175">IFERROR(AA106*AC106/AB106,0)</f>
        <v>0</v>
      </c>
      <c r="AE106" s="554">
        <v>1000</v>
      </c>
      <c r="AF106" s="503"/>
      <c r="AG106" s="406">
        <f t="shared" si="166"/>
        <v>0</v>
      </c>
      <c r="AH106" s="917"/>
      <c r="AI106" s="529">
        <f t="shared" ref="AI106:AI131" si="176">AA106+P106+D106</f>
        <v>1</v>
      </c>
      <c r="AJ106" s="506">
        <f t="shared" ref="AJ106:AJ131" si="177">AG106*AB106+V106*Q106+J106*E106</f>
        <v>1000</v>
      </c>
      <c r="AK106" s="530">
        <v>226</v>
      </c>
      <c r="AL106" s="566">
        <v>1000</v>
      </c>
      <c r="AM106" s="559">
        <f t="shared" ref="AM106:AM131" si="178">AL106-AJ106</f>
        <v>0</v>
      </c>
      <c r="AN106" s="530"/>
      <c r="AO106" s="530"/>
      <c r="AP106" s="530"/>
      <c r="AQ106" s="530"/>
      <c r="AR106" s="530"/>
    </row>
    <row r="107" spans="1:44" s="404" customFormat="1" ht="30">
      <c r="A107" s="518">
        <f t="shared" si="167"/>
        <v>3</v>
      </c>
      <c r="B107" s="584" t="str">
        <f t="shared" si="168"/>
        <v>командировочные расходы административного персонала</v>
      </c>
      <c r="C107" s="670" t="str">
        <f t="shared" si="169"/>
        <v>сумма в год</v>
      </c>
      <c r="D107" s="583">
        <f t="shared" si="160"/>
        <v>0.8</v>
      </c>
      <c r="E107" s="671">
        <f t="shared" ref="E107:E131" si="179">E106</f>
        <v>16</v>
      </c>
      <c r="F107" s="672">
        <v>1</v>
      </c>
      <c r="G107" s="673">
        <f t="shared" si="161"/>
        <v>0.05</v>
      </c>
      <c r="H107" s="726">
        <f t="shared" si="170"/>
        <v>25000</v>
      </c>
      <c r="I107" s="728"/>
      <c r="J107" s="526">
        <f t="shared" si="162"/>
        <v>1250</v>
      </c>
      <c r="K107" s="888"/>
      <c r="L107" s="595"/>
      <c r="M107" s="518">
        <f t="shared" si="171"/>
        <v>3</v>
      </c>
      <c r="N107" s="582" t="str">
        <f t="shared" si="172"/>
        <v>командировочные расходы административного персонала</v>
      </c>
      <c r="O107" s="670" t="str">
        <f t="shared" si="173"/>
        <v>сумма в год</v>
      </c>
      <c r="P107" s="583">
        <f t="shared" si="163"/>
        <v>0.2</v>
      </c>
      <c r="Q107" s="671">
        <f t="shared" ref="Q107:Q131" si="180">Q106</f>
        <v>4</v>
      </c>
      <c r="R107" s="672">
        <v>1</v>
      </c>
      <c r="S107" s="673">
        <f t="shared" si="164"/>
        <v>0.05</v>
      </c>
      <c r="T107" s="674">
        <f t="shared" si="174"/>
        <v>25000</v>
      </c>
      <c r="U107" s="675"/>
      <c r="V107" s="527">
        <f t="shared" si="165"/>
        <v>1250</v>
      </c>
      <c r="W107" s="888"/>
      <c r="X107" s="503">
        <v>3</v>
      </c>
      <c r="Y107" s="352" t="s">
        <v>133</v>
      </c>
      <c r="Z107" s="531" t="s">
        <v>52</v>
      </c>
      <c r="AA107" s="553"/>
      <c r="AB107" s="504">
        <f t="shared" ref="AB107:AB112" si="181">AB106</f>
        <v>4</v>
      </c>
      <c r="AC107" s="500">
        <v>1</v>
      </c>
      <c r="AD107" s="501">
        <f t="shared" si="175"/>
        <v>0</v>
      </c>
      <c r="AE107" s="560">
        <v>25000</v>
      </c>
      <c r="AF107" s="489"/>
      <c r="AG107" s="406">
        <f t="shared" si="166"/>
        <v>0</v>
      </c>
      <c r="AH107" s="917"/>
      <c r="AI107" s="529">
        <f t="shared" si="176"/>
        <v>1</v>
      </c>
      <c r="AJ107" s="506">
        <f t="shared" si="177"/>
        <v>25000</v>
      </c>
      <c r="AK107" s="530">
        <v>212</v>
      </c>
      <c r="AL107" s="558">
        <f>AB146+AE146</f>
        <v>25000</v>
      </c>
      <c r="AM107" s="559">
        <f t="shared" si="178"/>
        <v>0</v>
      </c>
      <c r="AN107" s="569">
        <v>226</v>
      </c>
      <c r="AO107" s="530"/>
      <c r="AP107" s="530"/>
      <c r="AQ107" s="530"/>
      <c r="AR107" s="530"/>
    </row>
    <row r="108" spans="1:44" s="404" customFormat="1" ht="30">
      <c r="A108" s="518">
        <f t="shared" si="167"/>
        <v>4</v>
      </c>
      <c r="B108" s="584" t="str">
        <f t="shared" si="168"/>
        <v>Испытание диэлектрических бот и перчаток</v>
      </c>
      <c r="C108" s="670" t="str">
        <f t="shared" si="169"/>
        <v>сумма в год</v>
      </c>
      <c r="D108" s="583">
        <f t="shared" si="160"/>
        <v>0.8</v>
      </c>
      <c r="E108" s="671">
        <f t="shared" si="179"/>
        <v>16</v>
      </c>
      <c r="F108" s="672">
        <v>1</v>
      </c>
      <c r="G108" s="673">
        <f t="shared" si="161"/>
        <v>0.05</v>
      </c>
      <c r="H108" s="726">
        <f t="shared" si="170"/>
        <v>4262.3999999999996</v>
      </c>
      <c r="I108" s="727"/>
      <c r="J108" s="526">
        <f t="shared" si="162"/>
        <v>213.12</v>
      </c>
      <c r="K108" s="888"/>
      <c r="L108" s="597"/>
      <c r="M108" s="518">
        <f t="shared" si="171"/>
        <v>4</v>
      </c>
      <c r="N108" s="582" t="str">
        <f t="shared" si="172"/>
        <v>Испытание диэлектрических бот и перчаток</v>
      </c>
      <c r="O108" s="670" t="str">
        <f t="shared" si="173"/>
        <v>сумма в год</v>
      </c>
      <c r="P108" s="583">
        <f t="shared" si="163"/>
        <v>0.2</v>
      </c>
      <c r="Q108" s="671">
        <f t="shared" si="180"/>
        <v>4</v>
      </c>
      <c r="R108" s="672">
        <v>1</v>
      </c>
      <c r="S108" s="673">
        <f t="shared" si="164"/>
        <v>0.05</v>
      </c>
      <c r="T108" s="674">
        <f t="shared" si="174"/>
        <v>4262.3999999999996</v>
      </c>
      <c r="U108" s="518"/>
      <c r="V108" s="527">
        <f t="shared" si="165"/>
        <v>213.12</v>
      </c>
      <c r="W108" s="888"/>
      <c r="X108" s="503">
        <v>4</v>
      </c>
      <c r="Y108" s="555" t="s">
        <v>305</v>
      </c>
      <c r="Z108" s="531" t="s">
        <v>52</v>
      </c>
      <c r="AA108" s="553"/>
      <c r="AB108" s="504">
        <f t="shared" si="181"/>
        <v>4</v>
      </c>
      <c r="AC108" s="500">
        <v>1</v>
      </c>
      <c r="AD108" s="501">
        <f t="shared" si="175"/>
        <v>0</v>
      </c>
      <c r="AE108" s="554">
        <v>4262.3999999999996</v>
      </c>
      <c r="AF108" s="503"/>
      <c r="AG108" s="406">
        <f t="shared" si="166"/>
        <v>0</v>
      </c>
      <c r="AH108" s="917"/>
      <c r="AI108" s="529">
        <f t="shared" si="176"/>
        <v>1</v>
      </c>
      <c r="AJ108" s="506">
        <f t="shared" si="177"/>
        <v>4262.3999999999996</v>
      </c>
      <c r="AK108" s="530">
        <v>226</v>
      </c>
      <c r="AL108" s="507">
        <v>4262.3999999999996</v>
      </c>
      <c r="AM108" s="559">
        <f t="shared" si="178"/>
        <v>0</v>
      </c>
      <c r="AN108" s="494">
        <f>AJ106+AJ108+AJ109+AJ110+AJ111+AJ112+AJ121+AJ122+AJ123+AJ125+AJ126+AJ129+AJ130+AJ113-AG140</f>
        <v>269529.95</v>
      </c>
      <c r="AO108" s="494"/>
    </row>
    <row r="109" spans="1:44" s="404" customFormat="1" ht="30">
      <c r="A109" s="518">
        <f t="shared" si="167"/>
        <v>5</v>
      </c>
      <c r="B109" s="584" t="str">
        <f t="shared" si="168"/>
        <v>Демеркуризация отработанных ламп</v>
      </c>
      <c r="C109" s="670" t="str">
        <f t="shared" si="169"/>
        <v>сумма в год</v>
      </c>
      <c r="D109" s="583">
        <f t="shared" si="160"/>
        <v>0.8</v>
      </c>
      <c r="E109" s="671">
        <f t="shared" si="179"/>
        <v>16</v>
      </c>
      <c r="F109" s="672">
        <v>1</v>
      </c>
      <c r="G109" s="673">
        <f t="shared" si="161"/>
        <v>0.05</v>
      </c>
      <c r="H109" s="726">
        <f t="shared" si="170"/>
        <v>1000</v>
      </c>
      <c r="I109" s="727"/>
      <c r="J109" s="526">
        <f t="shared" si="162"/>
        <v>50</v>
      </c>
      <c r="K109" s="888"/>
      <c r="L109" s="597"/>
      <c r="M109" s="518">
        <f t="shared" si="171"/>
        <v>5</v>
      </c>
      <c r="N109" s="582" t="str">
        <f t="shared" si="172"/>
        <v>Демеркуризация отработанных ламп</v>
      </c>
      <c r="O109" s="670" t="str">
        <f t="shared" si="173"/>
        <v>сумма в год</v>
      </c>
      <c r="P109" s="583">
        <f t="shared" si="163"/>
        <v>0.2</v>
      </c>
      <c r="Q109" s="671">
        <f t="shared" si="180"/>
        <v>4</v>
      </c>
      <c r="R109" s="672">
        <v>1</v>
      </c>
      <c r="S109" s="673">
        <f t="shared" si="164"/>
        <v>0.05</v>
      </c>
      <c r="T109" s="674">
        <f t="shared" si="174"/>
        <v>1000</v>
      </c>
      <c r="U109" s="518"/>
      <c r="V109" s="527">
        <f t="shared" si="165"/>
        <v>50</v>
      </c>
      <c r="W109" s="888"/>
      <c r="X109" s="503">
        <v>5</v>
      </c>
      <c r="Y109" s="555" t="s">
        <v>115</v>
      </c>
      <c r="Z109" s="531" t="s">
        <v>52</v>
      </c>
      <c r="AA109" s="553"/>
      <c r="AB109" s="504">
        <f t="shared" si="181"/>
        <v>4</v>
      </c>
      <c r="AC109" s="500">
        <v>1</v>
      </c>
      <c r="AD109" s="501">
        <f t="shared" si="175"/>
        <v>0</v>
      </c>
      <c r="AE109" s="554">
        <v>1000</v>
      </c>
      <c r="AF109" s="503"/>
      <c r="AG109" s="406">
        <f t="shared" si="166"/>
        <v>0</v>
      </c>
      <c r="AH109" s="917"/>
      <c r="AI109" s="529">
        <f t="shared" si="176"/>
        <v>1</v>
      </c>
      <c r="AJ109" s="506">
        <f t="shared" si="177"/>
        <v>1000</v>
      </c>
      <c r="AK109" s="530">
        <v>226</v>
      </c>
      <c r="AL109" s="507">
        <v>1000</v>
      </c>
      <c r="AM109" s="559">
        <f t="shared" si="178"/>
        <v>0</v>
      </c>
      <c r="AN109" s="561">
        <f>AD152</f>
        <v>269529.95</v>
      </c>
    </row>
    <row r="110" spans="1:44" s="404" customFormat="1" ht="30">
      <c r="A110" s="518">
        <f t="shared" si="167"/>
        <v>6</v>
      </c>
      <c r="B110" s="584" t="str">
        <f t="shared" si="168"/>
        <v>Аттестация условий оабочих мест</v>
      </c>
      <c r="C110" s="670" t="str">
        <f t="shared" si="169"/>
        <v>сумма в год</v>
      </c>
      <c r="D110" s="583">
        <f t="shared" si="160"/>
        <v>0.8</v>
      </c>
      <c r="E110" s="671">
        <f t="shared" si="179"/>
        <v>16</v>
      </c>
      <c r="F110" s="672">
        <v>1</v>
      </c>
      <c r="G110" s="673">
        <f t="shared" si="161"/>
        <v>0.05</v>
      </c>
      <c r="H110" s="726">
        <f t="shared" si="170"/>
        <v>20000</v>
      </c>
      <c r="I110" s="727"/>
      <c r="J110" s="526">
        <f t="shared" si="162"/>
        <v>1000</v>
      </c>
      <c r="K110" s="888"/>
      <c r="L110" s="597"/>
      <c r="M110" s="518">
        <f t="shared" si="171"/>
        <v>6</v>
      </c>
      <c r="N110" s="582" t="str">
        <f t="shared" si="172"/>
        <v>Аттестация условий оабочих мест</v>
      </c>
      <c r="O110" s="670" t="str">
        <f t="shared" si="173"/>
        <v>сумма в год</v>
      </c>
      <c r="P110" s="583">
        <f t="shared" si="163"/>
        <v>0.2</v>
      </c>
      <c r="Q110" s="671">
        <f t="shared" si="180"/>
        <v>4</v>
      </c>
      <c r="R110" s="672">
        <v>1</v>
      </c>
      <c r="S110" s="673">
        <f t="shared" si="164"/>
        <v>0.05</v>
      </c>
      <c r="T110" s="674">
        <f t="shared" si="174"/>
        <v>20000</v>
      </c>
      <c r="U110" s="518"/>
      <c r="V110" s="527">
        <f t="shared" si="165"/>
        <v>1000</v>
      </c>
      <c r="W110" s="888"/>
      <c r="X110" s="503">
        <v>6</v>
      </c>
      <c r="Y110" s="405" t="s">
        <v>344</v>
      </c>
      <c r="Z110" s="531" t="s">
        <v>52</v>
      </c>
      <c r="AA110" s="553"/>
      <c r="AB110" s="504">
        <f t="shared" si="181"/>
        <v>4</v>
      </c>
      <c r="AC110" s="500">
        <v>1</v>
      </c>
      <c r="AD110" s="501">
        <f t="shared" si="175"/>
        <v>0</v>
      </c>
      <c r="AE110" s="554">
        <v>20000</v>
      </c>
      <c r="AF110" s="503"/>
      <c r="AG110" s="406">
        <f t="shared" si="166"/>
        <v>0</v>
      </c>
      <c r="AH110" s="917"/>
      <c r="AI110" s="529">
        <f t="shared" si="176"/>
        <v>1</v>
      </c>
      <c r="AJ110" s="506">
        <f t="shared" si="177"/>
        <v>20000</v>
      </c>
      <c r="AK110" s="530">
        <v>226</v>
      </c>
      <c r="AL110" s="507">
        <v>20000</v>
      </c>
      <c r="AM110" s="559">
        <f t="shared" si="178"/>
        <v>0</v>
      </c>
      <c r="AN110" s="494">
        <f>AN109-AN108</f>
        <v>0</v>
      </c>
    </row>
    <row r="111" spans="1:44" s="404" customFormat="1" ht="30">
      <c r="A111" s="518">
        <f t="shared" si="167"/>
        <v>7</v>
      </c>
      <c r="B111" s="584" t="str">
        <f t="shared" si="168"/>
        <v>Инструментальный контроль качества</v>
      </c>
      <c r="C111" s="670" t="str">
        <f t="shared" si="169"/>
        <v>сумма в год</v>
      </c>
      <c r="D111" s="583">
        <f t="shared" si="160"/>
        <v>0.8</v>
      </c>
      <c r="E111" s="671">
        <f t="shared" si="179"/>
        <v>16</v>
      </c>
      <c r="F111" s="672">
        <v>1</v>
      </c>
      <c r="G111" s="673">
        <f t="shared" si="161"/>
        <v>0.05</v>
      </c>
      <c r="H111" s="726">
        <f t="shared" si="170"/>
        <v>0</v>
      </c>
      <c r="I111" s="727"/>
      <c r="J111" s="526">
        <f t="shared" si="162"/>
        <v>0</v>
      </c>
      <c r="K111" s="888"/>
      <c r="L111" s="597"/>
      <c r="M111" s="518">
        <f t="shared" si="171"/>
        <v>7</v>
      </c>
      <c r="N111" s="582" t="str">
        <f t="shared" si="172"/>
        <v>Инструментальный контроль качества</v>
      </c>
      <c r="O111" s="670" t="str">
        <f t="shared" si="173"/>
        <v>сумма в год</v>
      </c>
      <c r="P111" s="583">
        <f t="shared" si="163"/>
        <v>0.2</v>
      </c>
      <c r="Q111" s="671">
        <f t="shared" si="180"/>
        <v>4</v>
      </c>
      <c r="R111" s="672">
        <v>1</v>
      </c>
      <c r="S111" s="673">
        <f t="shared" si="164"/>
        <v>0.05</v>
      </c>
      <c r="T111" s="674">
        <f t="shared" si="174"/>
        <v>0</v>
      </c>
      <c r="U111" s="518"/>
      <c r="V111" s="527">
        <f t="shared" si="165"/>
        <v>0</v>
      </c>
      <c r="W111" s="888"/>
      <c r="X111" s="503">
        <v>7</v>
      </c>
      <c r="Y111" s="555" t="s">
        <v>343</v>
      </c>
      <c r="Z111" s="531" t="s">
        <v>52</v>
      </c>
      <c r="AA111" s="553"/>
      <c r="AB111" s="504">
        <f t="shared" si="181"/>
        <v>4</v>
      </c>
      <c r="AC111" s="500">
        <v>1</v>
      </c>
      <c r="AD111" s="501">
        <f t="shared" si="175"/>
        <v>0</v>
      </c>
      <c r="AE111" s="554">
        <v>0</v>
      </c>
      <c r="AF111" s="503"/>
      <c r="AG111" s="406">
        <f t="shared" si="166"/>
        <v>0</v>
      </c>
      <c r="AH111" s="917"/>
      <c r="AI111" s="529">
        <f t="shared" si="176"/>
        <v>1</v>
      </c>
      <c r="AJ111" s="506">
        <f t="shared" si="177"/>
        <v>0</v>
      </c>
      <c r="AK111" s="530">
        <v>226</v>
      </c>
      <c r="AL111" s="507">
        <v>0</v>
      </c>
      <c r="AM111" s="559">
        <f t="shared" si="178"/>
        <v>0</v>
      </c>
    </row>
    <row r="112" spans="1:44" s="404" customFormat="1">
      <c r="A112" s="518">
        <f t="shared" si="167"/>
        <v>8</v>
      </c>
      <c r="B112" s="584" t="str">
        <f t="shared" si="168"/>
        <v>Замена технического паспорта</v>
      </c>
      <c r="C112" s="670" t="str">
        <f t="shared" si="169"/>
        <v>сумма в год</v>
      </c>
      <c r="D112" s="583">
        <f t="shared" si="160"/>
        <v>0.8</v>
      </c>
      <c r="E112" s="671">
        <f t="shared" si="179"/>
        <v>16</v>
      </c>
      <c r="F112" s="672">
        <v>1</v>
      </c>
      <c r="G112" s="673">
        <f t="shared" ref="G112:G113" si="182">D112*F112/E112</f>
        <v>0.05</v>
      </c>
      <c r="H112" s="726">
        <f t="shared" ref="H112" si="183">T112</f>
        <v>0</v>
      </c>
      <c r="I112" s="727"/>
      <c r="J112" s="526">
        <f t="shared" ref="J112:J113" si="184">G112*H112</f>
        <v>0</v>
      </c>
      <c r="K112" s="888"/>
      <c r="L112" s="597"/>
      <c r="M112" s="518">
        <f t="shared" si="171"/>
        <v>8</v>
      </c>
      <c r="N112" s="582" t="str">
        <f t="shared" si="172"/>
        <v>Замена технического паспорта</v>
      </c>
      <c r="O112" s="670" t="str">
        <f t="shared" si="173"/>
        <v>сумма в год</v>
      </c>
      <c r="P112" s="583">
        <f t="shared" si="163"/>
        <v>0.2</v>
      </c>
      <c r="Q112" s="671">
        <f t="shared" si="180"/>
        <v>4</v>
      </c>
      <c r="R112" s="672">
        <v>1</v>
      </c>
      <c r="S112" s="673">
        <f t="shared" ref="S112:S113" si="185">P112*R112/Q112</f>
        <v>0.05</v>
      </c>
      <c r="T112" s="674">
        <f t="shared" si="174"/>
        <v>0</v>
      </c>
      <c r="U112" s="518"/>
      <c r="V112" s="527">
        <f t="shared" ref="V112:V113" si="186">S112*T112</f>
        <v>0</v>
      </c>
      <c r="W112" s="888"/>
      <c r="X112" s="503">
        <v>8</v>
      </c>
      <c r="Y112" s="555" t="s">
        <v>306</v>
      </c>
      <c r="Z112" s="531" t="s">
        <v>52</v>
      </c>
      <c r="AA112" s="553"/>
      <c r="AB112" s="504">
        <f t="shared" si="181"/>
        <v>4</v>
      </c>
      <c r="AC112" s="500">
        <v>1</v>
      </c>
      <c r="AD112" s="501">
        <f t="shared" ref="AD112" si="187">IFERROR(AA112*AC112/AB112,0)</f>
        <v>0</v>
      </c>
      <c r="AE112" s="554">
        <v>0</v>
      </c>
      <c r="AF112" s="503"/>
      <c r="AG112" s="406">
        <f t="shared" si="166"/>
        <v>0</v>
      </c>
      <c r="AH112" s="917"/>
      <c r="AI112" s="529">
        <f t="shared" si="176"/>
        <v>1</v>
      </c>
      <c r="AJ112" s="506">
        <f t="shared" si="177"/>
        <v>0</v>
      </c>
      <c r="AK112" s="530">
        <v>226</v>
      </c>
      <c r="AL112" s="507">
        <v>0</v>
      </c>
      <c r="AM112" s="559">
        <f t="shared" si="178"/>
        <v>0</v>
      </c>
    </row>
    <row r="113" spans="1:40" s="404" customFormat="1" ht="60">
      <c r="A113" s="518">
        <f t="shared" si="167"/>
        <v>9</v>
      </c>
      <c r="B113" s="584" t="str">
        <f t="shared" si="168"/>
        <v>Экспертиза огнезащитной обработки строительных конструкций и текстильных материалов</v>
      </c>
      <c r="C113" s="670" t="str">
        <f t="shared" si="169"/>
        <v>сумма в год</v>
      </c>
      <c r="D113" s="583">
        <f t="shared" si="160"/>
        <v>0.8</v>
      </c>
      <c r="E113" s="671">
        <f t="shared" si="179"/>
        <v>16</v>
      </c>
      <c r="F113" s="672">
        <v>1</v>
      </c>
      <c r="G113" s="673">
        <f t="shared" si="182"/>
        <v>0.05</v>
      </c>
      <c r="H113" s="726">
        <f t="shared" si="170"/>
        <v>0</v>
      </c>
      <c r="I113" s="727"/>
      <c r="J113" s="526">
        <f t="shared" si="184"/>
        <v>0</v>
      </c>
      <c r="K113" s="888"/>
      <c r="L113" s="597"/>
      <c r="M113" s="518">
        <f t="shared" si="171"/>
        <v>9</v>
      </c>
      <c r="N113" s="582" t="str">
        <f t="shared" si="172"/>
        <v>Экспертиза огнезащитной обработки строительных конструкций и текстильных материалов</v>
      </c>
      <c r="O113" s="670" t="str">
        <f t="shared" si="173"/>
        <v>сумма в год</v>
      </c>
      <c r="P113" s="583">
        <f t="shared" si="163"/>
        <v>0.2</v>
      </c>
      <c r="Q113" s="671">
        <f t="shared" si="180"/>
        <v>4</v>
      </c>
      <c r="R113" s="672">
        <v>1</v>
      </c>
      <c r="S113" s="673">
        <f t="shared" si="185"/>
        <v>0.05</v>
      </c>
      <c r="T113" s="674">
        <f t="shared" si="174"/>
        <v>0</v>
      </c>
      <c r="U113" s="518"/>
      <c r="V113" s="527">
        <f t="shared" si="186"/>
        <v>0</v>
      </c>
      <c r="W113" s="888"/>
      <c r="X113" s="503">
        <v>9</v>
      </c>
      <c r="Y113" s="555" t="s">
        <v>346</v>
      </c>
      <c r="Z113" s="531" t="s">
        <v>52</v>
      </c>
      <c r="AA113" s="553"/>
      <c r="AB113" s="488"/>
      <c r="AC113" s="500">
        <v>1</v>
      </c>
      <c r="AD113" s="501">
        <f t="shared" si="175"/>
        <v>0</v>
      </c>
      <c r="AE113" s="554">
        <v>0</v>
      </c>
      <c r="AF113" s="503"/>
      <c r="AG113" s="406">
        <f t="shared" si="166"/>
        <v>0</v>
      </c>
      <c r="AH113" s="917"/>
      <c r="AI113" s="529">
        <f t="shared" si="176"/>
        <v>1</v>
      </c>
      <c r="AJ113" s="506">
        <f t="shared" si="177"/>
        <v>0</v>
      </c>
      <c r="AK113" s="530">
        <v>226</v>
      </c>
      <c r="AL113" s="507">
        <v>0</v>
      </c>
      <c r="AM113" s="559">
        <f t="shared" si="178"/>
        <v>0</v>
      </c>
    </row>
    <row r="114" spans="1:40" s="404" customFormat="1">
      <c r="A114" s="518">
        <f t="shared" si="167"/>
        <v>10</v>
      </c>
      <c r="B114" s="584" t="str">
        <f t="shared" si="168"/>
        <v>Налоги, госпошлина</v>
      </c>
      <c r="C114" s="670" t="str">
        <f t="shared" si="169"/>
        <v>сумма в год</v>
      </c>
      <c r="D114" s="583">
        <f t="shared" si="160"/>
        <v>0.8</v>
      </c>
      <c r="E114" s="671">
        <f t="shared" si="179"/>
        <v>16</v>
      </c>
      <c r="F114" s="672">
        <v>1</v>
      </c>
      <c r="G114" s="673">
        <f t="shared" si="161"/>
        <v>0.05</v>
      </c>
      <c r="H114" s="726">
        <f t="shared" si="170"/>
        <v>2000</v>
      </c>
      <c r="I114" s="727"/>
      <c r="J114" s="526">
        <f t="shared" si="162"/>
        <v>100</v>
      </c>
      <c r="K114" s="888"/>
      <c r="L114" s="597"/>
      <c r="M114" s="518">
        <f t="shared" si="171"/>
        <v>10</v>
      </c>
      <c r="N114" s="582" t="str">
        <f t="shared" si="172"/>
        <v>Налоги, госпошлина</v>
      </c>
      <c r="O114" s="670" t="str">
        <f t="shared" si="173"/>
        <v>сумма в год</v>
      </c>
      <c r="P114" s="583">
        <f t="shared" si="163"/>
        <v>0.2</v>
      </c>
      <c r="Q114" s="671">
        <f t="shared" si="180"/>
        <v>4</v>
      </c>
      <c r="R114" s="672">
        <v>1</v>
      </c>
      <c r="S114" s="673">
        <f t="shared" si="164"/>
        <v>0.05</v>
      </c>
      <c r="T114" s="674">
        <f t="shared" si="174"/>
        <v>2000</v>
      </c>
      <c r="U114" s="518"/>
      <c r="V114" s="527">
        <f t="shared" si="165"/>
        <v>100</v>
      </c>
      <c r="W114" s="888"/>
      <c r="X114" s="503">
        <v>10</v>
      </c>
      <c r="Y114" s="555" t="s">
        <v>118</v>
      </c>
      <c r="Z114" s="531" t="s">
        <v>52</v>
      </c>
      <c r="AA114" s="553"/>
      <c r="AB114" s="504">
        <f>AB111</f>
        <v>4</v>
      </c>
      <c r="AC114" s="500">
        <v>1</v>
      </c>
      <c r="AD114" s="501">
        <f t="shared" si="175"/>
        <v>0</v>
      </c>
      <c r="AE114" s="554">
        <v>2000</v>
      </c>
      <c r="AF114" s="503"/>
      <c r="AG114" s="406">
        <f t="shared" si="166"/>
        <v>0</v>
      </c>
      <c r="AH114" s="917"/>
      <c r="AI114" s="529">
        <f t="shared" si="176"/>
        <v>1</v>
      </c>
      <c r="AJ114" s="506">
        <f t="shared" si="177"/>
        <v>2000</v>
      </c>
      <c r="AK114" s="530">
        <v>290</v>
      </c>
      <c r="AL114" s="561">
        <f>AD153</f>
        <v>2000</v>
      </c>
      <c r="AM114" s="559">
        <f t="shared" si="178"/>
        <v>0</v>
      </c>
      <c r="AN114" s="570">
        <v>340</v>
      </c>
    </row>
    <row r="115" spans="1:40" s="404" customFormat="1" ht="30">
      <c r="A115" s="518">
        <f t="shared" si="167"/>
        <v>11</v>
      </c>
      <c r="B115" s="584" t="str">
        <f t="shared" si="168"/>
        <v>пособие по уходу за ребенком до 3-х лет</v>
      </c>
      <c r="C115" s="670" t="str">
        <f t="shared" si="169"/>
        <v>сумма в год</v>
      </c>
      <c r="D115" s="583">
        <f t="shared" si="160"/>
        <v>0.8</v>
      </c>
      <c r="E115" s="671">
        <f t="shared" si="179"/>
        <v>16</v>
      </c>
      <c r="F115" s="672">
        <v>1</v>
      </c>
      <c r="G115" s="673">
        <f t="shared" si="161"/>
        <v>0.05</v>
      </c>
      <c r="H115" s="726">
        <f t="shared" si="170"/>
        <v>0</v>
      </c>
      <c r="I115" s="727"/>
      <c r="J115" s="729">
        <f t="shared" si="162"/>
        <v>0</v>
      </c>
      <c r="K115" s="888"/>
      <c r="L115" s="597"/>
      <c r="M115" s="518">
        <f t="shared" si="171"/>
        <v>11</v>
      </c>
      <c r="N115" s="582" t="str">
        <f t="shared" si="172"/>
        <v>пособие по уходу за ребенком до 3-х лет</v>
      </c>
      <c r="O115" s="670" t="str">
        <f t="shared" si="173"/>
        <v>сумма в год</v>
      </c>
      <c r="P115" s="583">
        <f t="shared" si="163"/>
        <v>0.2</v>
      </c>
      <c r="Q115" s="671">
        <f t="shared" si="180"/>
        <v>4</v>
      </c>
      <c r="R115" s="672">
        <v>1</v>
      </c>
      <c r="S115" s="673">
        <f t="shared" si="164"/>
        <v>0.05</v>
      </c>
      <c r="T115" s="674">
        <f t="shared" si="174"/>
        <v>0</v>
      </c>
      <c r="U115" s="518"/>
      <c r="V115" s="676">
        <f t="shared" si="165"/>
        <v>0</v>
      </c>
      <c r="W115" s="888"/>
      <c r="X115" s="503">
        <v>11</v>
      </c>
      <c r="Y115" s="563" t="s">
        <v>119</v>
      </c>
      <c r="Z115" s="531" t="s">
        <v>52</v>
      </c>
      <c r="AA115" s="553"/>
      <c r="AB115" s="504">
        <f>AB114</f>
        <v>4</v>
      </c>
      <c r="AC115" s="500">
        <v>1</v>
      </c>
      <c r="AD115" s="501">
        <f t="shared" si="175"/>
        <v>0</v>
      </c>
      <c r="AE115" s="562">
        <v>0</v>
      </c>
      <c r="AF115" s="510"/>
      <c r="AG115" s="406">
        <f t="shared" si="166"/>
        <v>0</v>
      </c>
      <c r="AH115" s="917"/>
      <c r="AI115" s="529">
        <f t="shared" si="176"/>
        <v>1</v>
      </c>
      <c r="AJ115" s="506">
        <f t="shared" si="177"/>
        <v>0</v>
      </c>
      <c r="AK115" s="530">
        <v>212</v>
      </c>
      <c r="AL115" s="561">
        <f>AD146</f>
        <v>0</v>
      </c>
      <c r="AM115" s="559">
        <f t="shared" si="178"/>
        <v>0</v>
      </c>
      <c r="AN115" s="494">
        <f>AJ70+AJ105+AJ118+AJ119+AJ120+AJ128+AJ124+AJ131+AJ127</f>
        <v>234130</v>
      </c>
    </row>
    <row r="116" spans="1:40" s="404" customFormat="1" ht="30">
      <c r="A116" s="518">
        <f t="shared" si="167"/>
        <v>12</v>
      </c>
      <c r="B116" s="584" t="str">
        <f t="shared" si="168"/>
        <v>Медосмотр административного персонала</v>
      </c>
      <c r="C116" s="670" t="str">
        <f t="shared" si="169"/>
        <v>сумма в год</v>
      </c>
      <c r="D116" s="583">
        <f t="shared" si="160"/>
        <v>0.8</v>
      </c>
      <c r="E116" s="671">
        <f t="shared" si="179"/>
        <v>16</v>
      </c>
      <c r="F116" s="672">
        <v>1</v>
      </c>
      <c r="G116" s="673">
        <f t="shared" si="161"/>
        <v>0.05</v>
      </c>
      <c r="H116" s="726">
        <f t="shared" si="170"/>
        <v>0</v>
      </c>
      <c r="I116" s="727"/>
      <c r="J116" s="526">
        <f t="shared" si="162"/>
        <v>0</v>
      </c>
      <c r="K116" s="888"/>
      <c r="L116" s="597"/>
      <c r="M116" s="518">
        <f t="shared" si="171"/>
        <v>12</v>
      </c>
      <c r="N116" s="582" t="str">
        <f t="shared" si="172"/>
        <v>Медосмотр административного персонала</v>
      </c>
      <c r="O116" s="670" t="str">
        <f t="shared" si="173"/>
        <v>сумма в год</v>
      </c>
      <c r="P116" s="583">
        <f t="shared" si="163"/>
        <v>0.2</v>
      </c>
      <c r="Q116" s="671">
        <f t="shared" si="180"/>
        <v>4</v>
      </c>
      <c r="R116" s="672">
        <v>1</v>
      </c>
      <c r="S116" s="673">
        <f t="shared" si="164"/>
        <v>0.05</v>
      </c>
      <c r="T116" s="674">
        <f t="shared" si="174"/>
        <v>0</v>
      </c>
      <c r="U116" s="518"/>
      <c r="V116" s="527">
        <f t="shared" si="165"/>
        <v>0</v>
      </c>
      <c r="W116" s="888"/>
      <c r="X116" s="503">
        <v>12</v>
      </c>
      <c r="Y116" s="563" t="s">
        <v>121</v>
      </c>
      <c r="Z116" s="531" t="s">
        <v>52</v>
      </c>
      <c r="AA116" s="553"/>
      <c r="AB116" s="504">
        <f t="shared" ref="AB116:AB131" si="188">AB115</f>
        <v>4</v>
      </c>
      <c r="AC116" s="500">
        <v>1</v>
      </c>
      <c r="AD116" s="501">
        <f t="shared" si="175"/>
        <v>0</v>
      </c>
      <c r="AE116" s="562">
        <v>0</v>
      </c>
      <c r="AF116" s="510"/>
      <c r="AG116" s="406">
        <f t="shared" si="166"/>
        <v>0</v>
      </c>
      <c r="AH116" s="917"/>
      <c r="AI116" s="529">
        <f t="shared" si="176"/>
        <v>1</v>
      </c>
      <c r="AJ116" s="506">
        <f t="shared" si="177"/>
        <v>0</v>
      </c>
      <c r="AK116" s="564" t="s">
        <v>347</v>
      </c>
      <c r="AL116" s="561">
        <f>AE152</f>
        <v>0</v>
      </c>
      <c r="AM116" s="559">
        <f t="shared" si="178"/>
        <v>0</v>
      </c>
      <c r="AN116" s="561">
        <f>AD155</f>
        <v>234130</v>
      </c>
    </row>
    <row r="117" spans="1:40" s="404" customFormat="1">
      <c r="A117" s="518">
        <f t="shared" si="167"/>
        <v>13</v>
      </c>
      <c r="B117" s="584" t="str">
        <f t="shared" si="168"/>
        <v>Прочие услуги</v>
      </c>
      <c r="C117" s="670" t="str">
        <f t="shared" si="169"/>
        <v>сумма в год</v>
      </c>
      <c r="D117" s="583">
        <f t="shared" si="160"/>
        <v>0.8</v>
      </c>
      <c r="E117" s="671">
        <f t="shared" si="179"/>
        <v>16</v>
      </c>
      <c r="F117" s="672">
        <v>1</v>
      </c>
      <c r="G117" s="673">
        <f t="shared" si="161"/>
        <v>0.05</v>
      </c>
      <c r="H117" s="726">
        <f t="shared" si="170"/>
        <v>110000</v>
      </c>
      <c r="I117" s="727"/>
      <c r="J117" s="526">
        <f t="shared" si="162"/>
        <v>5500</v>
      </c>
      <c r="K117" s="888"/>
      <c r="L117" s="597"/>
      <c r="M117" s="518">
        <f t="shared" si="171"/>
        <v>13</v>
      </c>
      <c r="N117" s="582" t="str">
        <f t="shared" si="172"/>
        <v>Прочие услуги</v>
      </c>
      <c r="O117" s="670" t="str">
        <f t="shared" si="173"/>
        <v>сумма в год</v>
      </c>
      <c r="P117" s="583">
        <f t="shared" si="163"/>
        <v>0.2</v>
      </c>
      <c r="Q117" s="671">
        <f t="shared" si="180"/>
        <v>4</v>
      </c>
      <c r="R117" s="672">
        <v>1</v>
      </c>
      <c r="S117" s="673">
        <f t="shared" si="164"/>
        <v>0.05</v>
      </c>
      <c r="T117" s="674">
        <f t="shared" si="174"/>
        <v>110000</v>
      </c>
      <c r="U117" s="518"/>
      <c r="V117" s="527">
        <f t="shared" si="165"/>
        <v>5500</v>
      </c>
      <c r="W117" s="888"/>
      <c r="X117" s="503">
        <v>13</v>
      </c>
      <c r="Y117" s="555" t="s">
        <v>171</v>
      </c>
      <c r="Z117" s="531" t="s">
        <v>52</v>
      </c>
      <c r="AA117" s="553"/>
      <c r="AB117" s="504">
        <f t="shared" si="188"/>
        <v>4</v>
      </c>
      <c r="AC117" s="500">
        <v>1</v>
      </c>
      <c r="AD117" s="501">
        <f t="shared" si="175"/>
        <v>0</v>
      </c>
      <c r="AE117" s="554">
        <v>110000</v>
      </c>
      <c r="AF117" s="503"/>
      <c r="AG117" s="406">
        <f t="shared" si="166"/>
        <v>0</v>
      </c>
      <c r="AH117" s="917"/>
      <c r="AI117" s="529">
        <f t="shared" si="176"/>
        <v>1</v>
      </c>
      <c r="AJ117" s="506">
        <f t="shared" si="177"/>
        <v>110000</v>
      </c>
      <c r="AK117" s="530" t="s">
        <v>351</v>
      </c>
      <c r="AL117" s="561">
        <f>AB152</f>
        <v>110000</v>
      </c>
      <c r="AM117" s="559">
        <f t="shared" si="178"/>
        <v>0</v>
      </c>
      <c r="AN117" s="494">
        <f>AN116-AN115</f>
        <v>0</v>
      </c>
    </row>
    <row r="118" spans="1:40" s="404" customFormat="1" ht="30">
      <c r="A118" s="518">
        <f t="shared" si="167"/>
        <v>14</v>
      </c>
      <c r="B118" s="584" t="str">
        <f t="shared" si="168"/>
        <v>Хоз.товары (дезинфицирующие, моющие средства)</v>
      </c>
      <c r="C118" s="670" t="str">
        <f t="shared" si="169"/>
        <v>сумма в год</v>
      </c>
      <c r="D118" s="583">
        <f t="shared" si="160"/>
        <v>0.8</v>
      </c>
      <c r="E118" s="671">
        <f t="shared" si="179"/>
        <v>16</v>
      </c>
      <c r="F118" s="672">
        <v>1</v>
      </c>
      <c r="G118" s="673">
        <f t="shared" ref="G118:G130" si="189">D118*F118/E118</f>
        <v>0.05</v>
      </c>
      <c r="H118" s="726">
        <f t="shared" si="170"/>
        <v>34728</v>
      </c>
      <c r="I118" s="727"/>
      <c r="J118" s="526">
        <f t="shared" ref="J118:J130" si="190">G118*H118</f>
        <v>1736.4</v>
      </c>
      <c r="K118" s="888"/>
      <c r="L118" s="597"/>
      <c r="M118" s="518">
        <f t="shared" si="171"/>
        <v>14</v>
      </c>
      <c r="N118" s="582" t="str">
        <f t="shared" si="172"/>
        <v>Хоз.товары (дезинфицирующие, моющие средства)</v>
      </c>
      <c r="O118" s="670" t="str">
        <f t="shared" si="173"/>
        <v>сумма в год</v>
      </c>
      <c r="P118" s="583">
        <f t="shared" si="163"/>
        <v>0.2</v>
      </c>
      <c r="Q118" s="671">
        <f t="shared" si="180"/>
        <v>4</v>
      </c>
      <c r="R118" s="672">
        <v>1</v>
      </c>
      <c r="S118" s="673">
        <f t="shared" ref="S118:S128" si="191">P118*R118/Q118</f>
        <v>0.05</v>
      </c>
      <c r="T118" s="674">
        <f t="shared" si="174"/>
        <v>34728</v>
      </c>
      <c r="U118" s="518"/>
      <c r="V118" s="527">
        <f t="shared" ref="V118:V129" si="192">S118*T118</f>
        <v>1736.4</v>
      </c>
      <c r="W118" s="888"/>
      <c r="X118" s="503">
        <v>14</v>
      </c>
      <c r="Y118" s="555" t="s">
        <v>122</v>
      </c>
      <c r="Z118" s="531" t="s">
        <v>52</v>
      </c>
      <c r="AA118" s="553"/>
      <c r="AB118" s="504">
        <f t="shared" si="188"/>
        <v>4</v>
      </c>
      <c r="AC118" s="500">
        <v>1</v>
      </c>
      <c r="AD118" s="501">
        <f t="shared" si="175"/>
        <v>0</v>
      </c>
      <c r="AE118" s="554">
        <v>34728</v>
      </c>
      <c r="AF118" s="503"/>
      <c r="AG118" s="406">
        <f t="shared" si="166"/>
        <v>0</v>
      </c>
      <c r="AH118" s="917"/>
      <c r="AI118" s="529">
        <f t="shared" si="176"/>
        <v>1</v>
      </c>
      <c r="AJ118" s="506">
        <f t="shared" si="177"/>
        <v>34728</v>
      </c>
      <c r="AK118" s="530">
        <v>340</v>
      </c>
      <c r="AL118" s="572">
        <v>34728</v>
      </c>
      <c r="AM118" s="559">
        <f t="shared" si="178"/>
        <v>0</v>
      </c>
    </row>
    <row r="119" spans="1:40" s="404" customFormat="1">
      <c r="A119" s="518">
        <f t="shared" si="167"/>
        <v>15</v>
      </c>
      <c r="B119" s="584" t="str">
        <f t="shared" si="168"/>
        <v>Канц. Товары</v>
      </c>
      <c r="C119" s="670" t="str">
        <f t="shared" si="169"/>
        <v>сумма в год</v>
      </c>
      <c r="D119" s="583">
        <f t="shared" si="160"/>
        <v>0.8</v>
      </c>
      <c r="E119" s="671">
        <f t="shared" si="179"/>
        <v>16</v>
      </c>
      <c r="F119" s="672">
        <v>1</v>
      </c>
      <c r="G119" s="673">
        <f t="shared" si="189"/>
        <v>0.05</v>
      </c>
      <c r="H119" s="726">
        <f t="shared" si="170"/>
        <v>6983</v>
      </c>
      <c r="I119" s="727"/>
      <c r="J119" s="526">
        <f t="shared" si="190"/>
        <v>349.15000000000003</v>
      </c>
      <c r="K119" s="888"/>
      <c r="L119" s="597"/>
      <c r="M119" s="518">
        <f t="shared" si="171"/>
        <v>15</v>
      </c>
      <c r="N119" s="582" t="str">
        <f t="shared" si="172"/>
        <v>Канц. Товары</v>
      </c>
      <c r="O119" s="670" t="str">
        <f t="shared" si="173"/>
        <v>сумма в год</v>
      </c>
      <c r="P119" s="583">
        <f t="shared" si="163"/>
        <v>0.2</v>
      </c>
      <c r="Q119" s="671">
        <f t="shared" si="180"/>
        <v>4</v>
      </c>
      <c r="R119" s="672">
        <v>1</v>
      </c>
      <c r="S119" s="673">
        <f t="shared" si="191"/>
        <v>0.05</v>
      </c>
      <c r="T119" s="674">
        <f t="shared" si="174"/>
        <v>6983</v>
      </c>
      <c r="U119" s="518"/>
      <c r="V119" s="527">
        <f t="shared" si="192"/>
        <v>349.15000000000003</v>
      </c>
      <c r="W119" s="888"/>
      <c r="X119" s="503">
        <v>15</v>
      </c>
      <c r="Y119" s="563" t="s">
        <v>355</v>
      </c>
      <c r="Z119" s="531" t="s">
        <v>52</v>
      </c>
      <c r="AA119" s="553"/>
      <c r="AB119" s="504">
        <f t="shared" si="188"/>
        <v>4</v>
      </c>
      <c r="AC119" s="500">
        <v>1</v>
      </c>
      <c r="AD119" s="501">
        <f t="shared" si="175"/>
        <v>0</v>
      </c>
      <c r="AE119" s="562">
        <v>6983</v>
      </c>
      <c r="AF119" s="510"/>
      <c r="AG119" s="406">
        <f t="shared" si="166"/>
        <v>0</v>
      </c>
      <c r="AH119" s="917"/>
      <c r="AI119" s="529">
        <f t="shared" si="176"/>
        <v>1</v>
      </c>
      <c r="AJ119" s="506">
        <f t="shared" si="177"/>
        <v>6983.0000000000009</v>
      </c>
      <c r="AK119" s="530">
        <v>340</v>
      </c>
      <c r="AL119" s="572">
        <v>6983</v>
      </c>
      <c r="AM119" s="559">
        <f t="shared" si="178"/>
        <v>0</v>
      </c>
    </row>
    <row r="120" spans="1:40" s="404" customFormat="1" ht="30">
      <c r="A120" s="518">
        <f t="shared" si="167"/>
        <v>16</v>
      </c>
      <c r="B120" s="584" t="str">
        <f t="shared" si="168"/>
        <v>Мягкий инвентарь  (постельное, подушки)</v>
      </c>
      <c r="C120" s="670" t="str">
        <f t="shared" si="169"/>
        <v>сумма в год</v>
      </c>
      <c r="D120" s="583">
        <f t="shared" si="160"/>
        <v>0.8</v>
      </c>
      <c r="E120" s="671">
        <f t="shared" si="179"/>
        <v>16</v>
      </c>
      <c r="F120" s="672">
        <v>1</v>
      </c>
      <c r="G120" s="673">
        <f t="shared" si="189"/>
        <v>0.05</v>
      </c>
      <c r="H120" s="726">
        <f t="shared" si="170"/>
        <v>0</v>
      </c>
      <c r="I120" s="727"/>
      <c r="J120" s="526">
        <f t="shared" si="190"/>
        <v>0</v>
      </c>
      <c r="K120" s="888"/>
      <c r="L120" s="597"/>
      <c r="M120" s="518">
        <f t="shared" si="171"/>
        <v>16</v>
      </c>
      <c r="N120" s="582" t="str">
        <f t="shared" si="172"/>
        <v>Мягкий инвентарь  (постельное, подушки)</v>
      </c>
      <c r="O120" s="670" t="str">
        <f t="shared" si="173"/>
        <v>сумма в год</v>
      </c>
      <c r="P120" s="583">
        <f t="shared" si="163"/>
        <v>0.2</v>
      </c>
      <c r="Q120" s="671">
        <f t="shared" si="180"/>
        <v>4</v>
      </c>
      <c r="R120" s="672">
        <v>1</v>
      </c>
      <c r="S120" s="673">
        <f t="shared" si="191"/>
        <v>0.05</v>
      </c>
      <c r="T120" s="674">
        <f t="shared" si="174"/>
        <v>0</v>
      </c>
      <c r="U120" s="518"/>
      <c r="V120" s="527">
        <f t="shared" si="192"/>
        <v>0</v>
      </c>
      <c r="W120" s="888"/>
      <c r="X120" s="503">
        <v>16</v>
      </c>
      <c r="Y120" s="563" t="s">
        <v>163</v>
      </c>
      <c r="Z120" s="531" t="s">
        <v>52</v>
      </c>
      <c r="AA120" s="553"/>
      <c r="AB120" s="504">
        <f t="shared" si="188"/>
        <v>4</v>
      </c>
      <c r="AC120" s="500">
        <v>1</v>
      </c>
      <c r="AD120" s="501">
        <f t="shared" si="175"/>
        <v>0</v>
      </c>
      <c r="AE120" s="562">
        <v>0</v>
      </c>
      <c r="AF120" s="510"/>
      <c r="AG120" s="406">
        <f t="shared" si="166"/>
        <v>0</v>
      </c>
      <c r="AH120" s="917"/>
      <c r="AI120" s="529">
        <f t="shared" si="176"/>
        <v>1</v>
      </c>
      <c r="AJ120" s="506">
        <f t="shared" si="177"/>
        <v>0</v>
      </c>
      <c r="AK120" s="530">
        <v>340</v>
      </c>
      <c r="AL120" s="572">
        <v>0</v>
      </c>
      <c r="AM120" s="559">
        <f t="shared" si="178"/>
        <v>0</v>
      </c>
    </row>
    <row r="121" spans="1:40" s="404" customFormat="1" ht="30">
      <c r="A121" s="518">
        <f t="shared" si="167"/>
        <v>17</v>
      </c>
      <c r="B121" s="584" t="str">
        <f t="shared" si="168"/>
        <v>Медосмотр обслуживающего персонала</v>
      </c>
      <c r="C121" s="670" t="str">
        <f t="shared" si="169"/>
        <v>сумма в год</v>
      </c>
      <c r="D121" s="583">
        <f t="shared" si="160"/>
        <v>0.8</v>
      </c>
      <c r="E121" s="671">
        <f t="shared" si="179"/>
        <v>16</v>
      </c>
      <c r="F121" s="672">
        <v>1</v>
      </c>
      <c r="G121" s="673">
        <f t="shared" si="189"/>
        <v>0.05</v>
      </c>
      <c r="H121" s="726">
        <f t="shared" si="170"/>
        <v>40000</v>
      </c>
      <c r="I121" s="727"/>
      <c r="J121" s="526">
        <f t="shared" si="190"/>
        <v>2000</v>
      </c>
      <c r="K121" s="888"/>
      <c r="L121" s="597"/>
      <c r="M121" s="518">
        <f t="shared" si="171"/>
        <v>17</v>
      </c>
      <c r="N121" s="582" t="str">
        <f t="shared" si="172"/>
        <v>Медосмотр обслуживающего персонала</v>
      </c>
      <c r="O121" s="670" t="str">
        <f t="shared" si="173"/>
        <v>сумма в год</v>
      </c>
      <c r="P121" s="583">
        <f t="shared" si="163"/>
        <v>0.2</v>
      </c>
      <c r="Q121" s="671">
        <f t="shared" si="180"/>
        <v>4</v>
      </c>
      <c r="R121" s="672">
        <v>1</v>
      </c>
      <c r="S121" s="673">
        <f t="shared" si="191"/>
        <v>0.05</v>
      </c>
      <c r="T121" s="674">
        <f t="shared" si="174"/>
        <v>40000</v>
      </c>
      <c r="U121" s="518"/>
      <c r="V121" s="527">
        <f t="shared" si="192"/>
        <v>2000</v>
      </c>
      <c r="W121" s="888"/>
      <c r="X121" s="503">
        <v>17</v>
      </c>
      <c r="Y121" s="512" t="s">
        <v>164</v>
      </c>
      <c r="Z121" s="531" t="s">
        <v>52</v>
      </c>
      <c r="AA121" s="553"/>
      <c r="AB121" s="504">
        <f t="shared" si="188"/>
        <v>4</v>
      </c>
      <c r="AC121" s="500">
        <v>1</v>
      </c>
      <c r="AD121" s="501">
        <f t="shared" si="175"/>
        <v>0</v>
      </c>
      <c r="AE121" s="562">
        <v>40000</v>
      </c>
      <c r="AF121" s="510"/>
      <c r="AG121" s="406">
        <f t="shared" si="166"/>
        <v>0</v>
      </c>
      <c r="AH121" s="917"/>
      <c r="AI121" s="529">
        <f t="shared" si="176"/>
        <v>1</v>
      </c>
      <c r="AJ121" s="506">
        <f t="shared" si="177"/>
        <v>40000</v>
      </c>
      <c r="AK121" s="530">
        <v>226</v>
      </c>
      <c r="AL121" s="567">
        <v>40000</v>
      </c>
      <c r="AM121" s="559">
        <f t="shared" si="178"/>
        <v>0</v>
      </c>
    </row>
    <row r="122" spans="1:40" s="404" customFormat="1" ht="30">
      <c r="A122" s="518">
        <f t="shared" si="167"/>
        <v>18</v>
      </c>
      <c r="B122" s="584" t="str">
        <f t="shared" si="168"/>
        <v>Обучение электро-теплотехнического персонала</v>
      </c>
      <c r="C122" s="670" t="str">
        <f t="shared" si="169"/>
        <v>сумма в год</v>
      </c>
      <c r="D122" s="583">
        <f t="shared" si="160"/>
        <v>0.8</v>
      </c>
      <c r="E122" s="671">
        <f t="shared" si="179"/>
        <v>16</v>
      </c>
      <c r="F122" s="672">
        <v>1</v>
      </c>
      <c r="G122" s="673">
        <f t="shared" si="189"/>
        <v>0.05</v>
      </c>
      <c r="H122" s="726">
        <f t="shared" si="170"/>
        <v>45000</v>
      </c>
      <c r="I122" s="727"/>
      <c r="J122" s="526">
        <f t="shared" si="190"/>
        <v>2250</v>
      </c>
      <c r="K122" s="888"/>
      <c r="L122" s="597"/>
      <c r="M122" s="518">
        <f t="shared" si="171"/>
        <v>18</v>
      </c>
      <c r="N122" s="582" t="str">
        <f t="shared" si="172"/>
        <v>Обучение электро-теплотехнического персонала</v>
      </c>
      <c r="O122" s="670" t="str">
        <f t="shared" si="173"/>
        <v>сумма в год</v>
      </c>
      <c r="P122" s="583">
        <f t="shared" si="163"/>
        <v>0.2</v>
      </c>
      <c r="Q122" s="671">
        <f t="shared" si="180"/>
        <v>4</v>
      </c>
      <c r="R122" s="672">
        <v>1</v>
      </c>
      <c r="S122" s="673">
        <f t="shared" si="191"/>
        <v>0.05</v>
      </c>
      <c r="T122" s="674">
        <f t="shared" si="174"/>
        <v>45000</v>
      </c>
      <c r="U122" s="518"/>
      <c r="V122" s="527">
        <f t="shared" si="192"/>
        <v>2250</v>
      </c>
      <c r="W122" s="888"/>
      <c r="X122" s="503">
        <v>18</v>
      </c>
      <c r="Y122" s="512" t="s">
        <v>165</v>
      </c>
      <c r="Z122" s="531" t="s">
        <v>52</v>
      </c>
      <c r="AA122" s="553"/>
      <c r="AB122" s="504">
        <f t="shared" si="188"/>
        <v>4</v>
      </c>
      <c r="AC122" s="500">
        <v>1</v>
      </c>
      <c r="AD122" s="501">
        <f t="shared" si="175"/>
        <v>0</v>
      </c>
      <c r="AE122" s="562">
        <v>45000</v>
      </c>
      <c r="AF122" s="510"/>
      <c r="AG122" s="406">
        <f t="shared" si="166"/>
        <v>0</v>
      </c>
      <c r="AH122" s="917"/>
      <c r="AI122" s="529">
        <f t="shared" si="176"/>
        <v>1</v>
      </c>
      <c r="AJ122" s="506">
        <f t="shared" si="177"/>
        <v>45000</v>
      </c>
      <c r="AK122" s="530">
        <v>226</v>
      </c>
      <c r="AL122" s="507">
        <v>45000</v>
      </c>
      <c r="AM122" s="559">
        <f t="shared" si="178"/>
        <v>0</v>
      </c>
    </row>
    <row r="123" spans="1:40" s="404" customFormat="1" ht="30">
      <c r="A123" s="518">
        <f t="shared" si="167"/>
        <v>19</v>
      </c>
      <c r="B123" s="584" t="str">
        <f t="shared" si="168"/>
        <v>Услуги Центра гигины и эпидемиологии</v>
      </c>
      <c r="C123" s="670" t="str">
        <f t="shared" si="169"/>
        <v>сумма в год</v>
      </c>
      <c r="D123" s="583">
        <f t="shared" si="160"/>
        <v>0.8</v>
      </c>
      <c r="E123" s="671">
        <f t="shared" si="179"/>
        <v>16</v>
      </c>
      <c r="F123" s="672">
        <v>1</v>
      </c>
      <c r="G123" s="673">
        <f t="shared" si="189"/>
        <v>0.05</v>
      </c>
      <c r="H123" s="726">
        <f t="shared" si="170"/>
        <v>117968</v>
      </c>
      <c r="I123" s="727"/>
      <c r="J123" s="526">
        <f t="shared" si="190"/>
        <v>5898.4000000000005</v>
      </c>
      <c r="K123" s="888"/>
      <c r="L123" s="597"/>
      <c r="M123" s="518">
        <f t="shared" si="171"/>
        <v>19</v>
      </c>
      <c r="N123" s="582" t="str">
        <f t="shared" si="172"/>
        <v>Услуги Центра гигины и эпидемиологии</v>
      </c>
      <c r="O123" s="670" t="str">
        <f t="shared" si="173"/>
        <v>сумма в год</v>
      </c>
      <c r="P123" s="583">
        <f t="shared" si="163"/>
        <v>0.2</v>
      </c>
      <c r="Q123" s="671">
        <f t="shared" si="180"/>
        <v>4</v>
      </c>
      <c r="R123" s="672">
        <v>1</v>
      </c>
      <c r="S123" s="673">
        <f t="shared" si="191"/>
        <v>0.05</v>
      </c>
      <c r="T123" s="674">
        <f t="shared" si="174"/>
        <v>117968</v>
      </c>
      <c r="U123" s="518"/>
      <c r="V123" s="527">
        <f t="shared" si="192"/>
        <v>5898.4000000000005</v>
      </c>
      <c r="W123" s="888"/>
      <c r="X123" s="503">
        <v>19</v>
      </c>
      <c r="Y123" s="512" t="s">
        <v>166</v>
      </c>
      <c r="Z123" s="531" t="s">
        <v>52</v>
      </c>
      <c r="AA123" s="553"/>
      <c r="AB123" s="504">
        <f t="shared" si="188"/>
        <v>4</v>
      </c>
      <c r="AC123" s="500">
        <v>1</v>
      </c>
      <c r="AD123" s="501">
        <f t="shared" si="175"/>
        <v>0</v>
      </c>
      <c r="AE123" s="562">
        <v>117968</v>
      </c>
      <c r="AF123" s="510"/>
      <c r="AG123" s="406">
        <f t="shared" si="166"/>
        <v>0</v>
      </c>
      <c r="AH123" s="917"/>
      <c r="AI123" s="529">
        <f t="shared" si="176"/>
        <v>1</v>
      </c>
      <c r="AJ123" s="506">
        <f t="shared" si="177"/>
        <v>117968.00000000001</v>
      </c>
      <c r="AK123" s="530">
        <v>226</v>
      </c>
      <c r="AL123" s="507">
        <v>117968</v>
      </c>
      <c r="AM123" s="559">
        <f t="shared" si="178"/>
        <v>0</v>
      </c>
    </row>
    <row r="124" spans="1:40" s="404" customFormat="1">
      <c r="A124" s="518">
        <f t="shared" si="167"/>
        <v>20</v>
      </c>
      <c r="B124" s="584" t="str">
        <f t="shared" si="168"/>
        <v>Сторительные материалы</v>
      </c>
      <c r="C124" s="670" t="str">
        <f t="shared" si="169"/>
        <v>сумма в год</v>
      </c>
      <c r="D124" s="583">
        <f t="shared" si="160"/>
        <v>0.8</v>
      </c>
      <c r="E124" s="671">
        <f t="shared" si="179"/>
        <v>16</v>
      </c>
      <c r="F124" s="672">
        <v>1</v>
      </c>
      <c r="G124" s="673">
        <f t="shared" si="189"/>
        <v>0.05</v>
      </c>
      <c r="H124" s="726">
        <f t="shared" si="170"/>
        <v>75939</v>
      </c>
      <c r="I124" s="727"/>
      <c r="J124" s="526">
        <f t="shared" si="190"/>
        <v>3796.9500000000003</v>
      </c>
      <c r="K124" s="888"/>
      <c r="L124" s="597"/>
      <c r="M124" s="518">
        <f t="shared" si="171"/>
        <v>20</v>
      </c>
      <c r="N124" s="582" t="str">
        <f t="shared" si="172"/>
        <v>Сторительные материалы</v>
      </c>
      <c r="O124" s="670" t="str">
        <f t="shared" si="173"/>
        <v>сумма в год</v>
      </c>
      <c r="P124" s="583">
        <f t="shared" si="163"/>
        <v>0.2</v>
      </c>
      <c r="Q124" s="671">
        <f t="shared" si="180"/>
        <v>4</v>
      </c>
      <c r="R124" s="672">
        <v>1</v>
      </c>
      <c r="S124" s="673">
        <f t="shared" si="191"/>
        <v>0.05</v>
      </c>
      <c r="T124" s="674">
        <f t="shared" si="174"/>
        <v>75939</v>
      </c>
      <c r="U124" s="518"/>
      <c r="V124" s="527">
        <f t="shared" si="192"/>
        <v>3796.9500000000003</v>
      </c>
      <c r="W124" s="888"/>
      <c r="X124" s="503">
        <v>20</v>
      </c>
      <c r="Y124" s="512" t="s">
        <v>354</v>
      </c>
      <c r="Z124" s="531" t="s">
        <v>52</v>
      </c>
      <c r="AA124" s="553"/>
      <c r="AB124" s="504">
        <f t="shared" si="188"/>
        <v>4</v>
      </c>
      <c r="AC124" s="500">
        <v>1</v>
      </c>
      <c r="AD124" s="501">
        <f t="shared" si="175"/>
        <v>0</v>
      </c>
      <c r="AE124" s="562">
        <v>75939</v>
      </c>
      <c r="AF124" s="510"/>
      <c r="AG124" s="406">
        <f t="shared" si="166"/>
        <v>0</v>
      </c>
      <c r="AH124" s="917"/>
      <c r="AI124" s="529">
        <f t="shared" si="176"/>
        <v>1</v>
      </c>
      <c r="AJ124" s="506">
        <f t="shared" si="177"/>
        <v>75939</v>
      </c>
      <c r="AK124" s="530">
        <v>340</v>
      </c>
      <c r="AL124" s="572">
        <v>75939</v>
      </c>
      <c r="AM124" s="559">
        <f t="shared" si="178"/>
        <v>0</v>
      </c>
    </row>
    <row r="125" spans="1:40" s="404" customFormat="1" ht="45">
      <c r="A125" s="518">
        <f t="shared" si="167"/>
        <v>21</v>
      </c>
      <c r="B125" s="584" t="str">
        <f t="shared" si="168"/>
        <v>Проведение испытаний устройст заземления и изоляции электросетей</v>
      </c>
      <c r="C125" s="670" t="str">
        <f t="shared" si="169"/>
        <v>сумма в год</v>
      </c>
      <c r="D125" s="583">
        <f t="shared" si="160"/>
        <v>0.8</v>
      </c>
      <c r="E125" s="671">
        <f t="shared" si="179"/>
        <v>16</v>
      </c>
      <c r="F125" s="672">
        <v>1</v>
      </c>
      <c r="G125" s="673">
        <f t="shared" si="189"/>
        <v>0.05</v>
      </c>
      <c r="H125" s="726">
        <f t="shared" si="170"/>
        <v>12400</v>
      </c>
      <c r="I125" s="727"/>
      <c r="J125" s="526">
        <f t="shared" si="190"/>
        <v>620</v>
      </c>
      <c r="K125" s="888"/>
      <c r="L125" s="597"/>
      <c r="M125" s="518">
        <f t="shared" si="171"/>
        <v>21</v>
      </c>
      <c r="N125" s="582" t="str">
        <f t="shared" si="172"/>
        <v>Проведение испытаний устройст заземления и изоляции электросетей</v>
      </c>
      <c r="O125" s="670" t="str">
        <f t="shared" si="173"/>
        <v>сумма в год</v>
      </c>
      <c r="P125" s="583">
        <f t="shared" si="163"/>
        <v>0.2</v>
      </c>
      <c r="Q125" s="671">
        <f t="shared" si="180"/>
        <v>4</v>
      </c>
      <c r="R125" s="672">
        <v>1</v>
      </c>
      <c r="S125" s="673">
        <f t="shared" si="191"/>
        <v>0.05</v>
      </c>
      <c r="T125" s="674">
        <f t="shared" si="174"/>
        <v>12400</v>
      </c>
      <c r="U125" s="518"/>
      <c r="V125" s="527">
        <f t="shared" si="192"/>
        <v>620</v>
      </c>
      <c r="W125" s="888"/>
      <c r="X125" s="503">
        <v>21</v>
      </c>
      <c r="Y125" s="512" t="s">
        <v>167</v>
      </c>
      <c r="Z125" s="531" t="s">
        <v>52</v>
      </c>
      <c r="AA125" s="553"/>
      <c r="AB125" s="504">
        <f t="shared" si="188"/>
        <v>4</v>
      </c>
      <c r="AC125" s="500">
        <v>1</v>
      </c>
      <c r="AD125" s="501">
        <f t="shared" si="175"/>
        <v>0</v>
      </c>
      <c r="AE125" s="562">
        <v>12400</v>
      </c>
      <c r="AF125" s="510"/>
      <c r="AG125" s="406">
        <f t="shared" si="166"/>
        <v>0</v>
      </c>
      <c r="AH125" s="917"/>
      <c r="AI125" s="529">
        <f t="shared" si="176"/>
        <v>1</v>
      </c>
      <c r="AJ125" s="506">
        <f t="shared" si="177"/>
        <v>12400</v>
      </c>
      <c r="AK125" s="530">
        <v>226</v>
      </c>
      <c r="AL125" s="507">
        <v>12400</v>
      </c>
      <c r="AM125" s="559">
        <f t="shared" si="178"/>
        <v>0</v>
      </c>
    </row>
    <row r="126" spans="1:40" s="404" customFormat="1" ht="30">
      <c r="A126" s="518">
        <f t="shared" si="167"/>
        <v>22</v>
      </c>
      <c r="B126" s="584" t="str">
        <f t="shared" si="168"/>
        <v>Обслуживание системы наружного видеонаблюдения</v>
      </c>
      <c r="C126" s="670" t="str">
        <f>O126</f>
        <v>сумма в год</v>
      </c>
      <c r="D126" s="583">
        <f t="shared" si="160"/>
        <v>0.8</v>
      </c>
      <c r="E126" s="671">
        <f t="shared" si="179"/>
        <v>16</v>
      </c>
      <c r="F126" s="672">
        <v>1</v>
      </c>
      <c r="G126" s="673">
        <f t="shared" si="189"/>
        <v>0.05</v>
      </c>
      <c r="H126" s="726">
        <f>T126</f>
        <v>0</v>
      </c>
      <c r="I126" s="727"/>
      <c r="J126" s="526">
        <f t="shared" si="190"/>
        <v>0</v>
      </c>
      <c r="K126" s="888"/>
      <c r="L126" s="597"/>
      <c r="M126" s="518">
        <f t="shared" si="171"/>
        <v>22</v>
      </c>
      <c r="N126" s="582" t="str">
        <f t="shared" si="172"/>
        <v>Обслуживание системы наружного видеонаблюдения</v>
      </c>
      <c r="O126" s="670" t="str">
        <f t="shared" si="173"/>
        <v>сумма в год</v>
      </c>
      <c r="P126" s="583">
        <f t="shared" si="163"/>
        <v>0.2</v>
      </c>
      <c r="Q126" s="671">
        <f t="shared" si="180"/>
        <v>4</v>
      </c>
      <c r="R126" s="672">
        <v>1</v>
      </c>
      <c r="S126" s="673">
        <f>P126*R126/Q126</f>
        <v>0.05</v>
      </c>
      <c r="T126" s="674">
        <f t="shared" si="174"/>
        <v>0</v>
      </c>
      <c r="U126" s="518"/>
      <c r="V126" s="527">
        <f>S126*T126</f>
        <v>0</v>
      </c>
      <c r="W126" s="888"/>
      <c r="X126" s="503">
        <v>22</v>
      </c>
      <c r="Y126" s="512" t="s">
        <v>168</v>
      </c>
      <c r="Z126" s="531" t="s">
        <v>52</v>
      </c>
      <c r="AA126" s="553"/>
      <c r="AB126" s="504">
        <f t="shared" si="188"/>
        <v>4</v>
      </c>
      <c r="AC126" s="500">
        <v>1</v>
      </c>
      <c r="AD126" s="501">
        <f t="shared" si="175"/>
        <v>0</v>
      </c>
      <c r="AE126" s="562">
        <v>0</v>
      </c>
      <c r="AF126" s="510"/>
      <c r="AG126" s="406">
        <f t="shared" si="166"/>
        <v>0</v>
      </c>
      <c r="AH126" s="917"/>
      <c r="AI126" s="529">
        <f t="shared" si="176"/>
        <v>1</v>
      </c>
      <c r="AJ126" s="506">
        <f t="shared" si="177"/>
        <v>0</v>
      </c>
      <c r="AK126" s="530">
        <v>226</v>
      </c>
      <c r="AL126" s="507">
        <v>0</v>
      </c>
      <c r="AM126" s="559">
        <f>AL126-AJ126</f>
        <v>0</v>
      </c>
    </row>
    <row r="127" spans="1:40" s="404" customFormat="1">
      <c r="A127" s="518">
        <f t="shared" si="167"/>
        <v>23</v>
      </c>
      <c r="B127" s="584" t="str">
        <f t="shared" si="168"/>
        <v>Посуда</v>
      </c>
      <c r="C127" s="670" t="str">
        <f>O127</f>
        <v>сумма в год</v>
      </c>
      <c r="D127" s="583">
        <f t="shared" si="160"/>
        <v>0.8</v>
      </c>
      <c r="E127" s="671">
        <f t="shared" si="179"/>
        <v>16</v>
      </c>
      <c r="F127" s="672">
        <v>1</v>
      </c>
      <c r="G127" s="673">
        <f t="shared" ref="G127" si="193">D127*F127/E127</f>
        <v>0.05</v>
      </c>
      <c r="H127" s="726">
        <f>T127</f>
        <v>3000</v>
      </c>
      <c r="I127" s="727"/>
      <c r="J127" s="526">
        <f t="shared" ref="J127" si="194">G127*H127</f>
        <v>150</v>
      </c>
      <c r="K127" s="888"/>
      <c r="L127" s="597"/>
      <c r="M127" s="518">
        <f t="shared" si="171"/>
        <v>23</v>
      </c>
      <c r="N127" s="582" t="str">
        <f t="shared" si="172"/>
        <v>Посуда</v>
      </c>
      <c r="O127" s="670" t="str">
        <f t="shared" si="173"/>
        <v>сумма в год</v>
      </c>
      <c r="P127" s="583">
        <f t="shared" si="163"/>
        <v>0.2</v>
      </c>
      <c r="Q127" s="671">
        <f t="shared" si="180"/>
        <v>4</v>
      </c>
      <c r="R127" s="672">
        <v>1</v>
      </c>
      <c r="S127" s="673">
        <f>P127*R127/Q127</f>
        <v>0.05</v>
      </c>
      <c r="T127" s="674">
        <f t="shared" si="174"/>
        <v>3000</v>
      </c>
      <c r="U127" s="518"/>
      <c r="V127" s="527">
        <f>S127*T127</f>
        <v>150</v>
      </c>
      <c r="W127" s="888"/>
      <c r="X127" s="503">
        <v>23</v>
      </c>
      <c r="Y127" s="585" t="s">
        <v>356</v>
      </c>
      <c r="Z127" s="531" t="s">
        <v>52</v>
      </c>
      <c r="AA127" s="583"/>
      <c r="AB127" s="504">
        <f t="shared" si="188"/>
        <v>4</v>
      </c>
      <c r="AC127" s="500">
        <v>1</v>
      </c>
      <c r="AD127" s="501">
        <f t="shared" ref="AD127" si="195">IFERROR(AA127*AC127/AB127,0)</f>
        <v>0</v>
      </c>
      <c r="AE127" s="562">
        <v>3000</v>
      </c>
      <c r="AF127" s="510"/>
      <c r="AG127" s="406">
        <f t="shared" ref="AG127" si="196">IFERROR(AD127*AE127,0)</f>
        <v>0</v>
      </c>
      <c r="AH127" s="918"/>
      <c r="AI127" s="529">
        <f t="shared" si="176"/>
        <v>1</v>
      </c>
      <c r="AJ127" s="506">
        <f t="shared" si="177"/>
        <v>3000</v>
      </c>
      <c r="AK127" s="530">
        <v>340</v>
      </c>
      <c r="AL127" s="572">
        <v>3000</v>
      </c>
      <c r="AM127" s="559">
        <f>AL127-AJ127</f>
        <v>0</v>
      </c>
    </row>
    <row r="128" spans="1:40" s="404" customFormat="1">
      <c r="A128" s="518">
        <f t="shared" si="167"/>
        <v>24</v>
      </c>
      <c r="B128" s="584" t="str">
        <f t="shared" si="168"/>
        <v>Прочие материальные запасы</v>
      </c>
      <c r="C128" s="670" t="str">
        <f t="shared" si="169"/>
        <v>сумма в год</v>
      </c>
      <c r="D128" s="583">
        <v>1</v>
      </c>
      <c r="E128" s="671">
        <f t="shared" si="179"/>
        <v>16</v>
      </c>
      <c r="F128" s="672">
        <v>1</v>
      </c>
      <c r="G128" s="673">
        <f t="shared" si="189"/>
        <v>6.25E-2</v>
      </c>
      <c r="H128" s="726">
        <f t="shared" si="170"/>
        <v>33080</v>
      </c>
      <c r="I128" s="727"/>
      <c r="J128" s="526">
        <f t="shared" si="190"/>
        <v>2067.5</v>
      </c>
      <c r="K128" s="888"/>
      <c r="L128" s="597"/>
      <c r="M128" s="518">
        <f t="shared" si="171"/>
        <v>24</v>
      </c>
      <c r="N128" s="582" t="str">
        <f t="shared" si="172"/>
        <v>Прочие материальные запасы</v>
      </c>
      <c r="O128" s="670" t="str">
        <f t="shared" si="173"/>
        <v>сумма в год</v>
      </c>
      <c r="P128" s="583"/>
      <c r="Q128" s="671">
        <f t="shared" si="180"/>
        <v>4</v>
      </c>
      <c r="R128" s="672">
        <v>1</v>
      </c>
      <c r="S128" s="673">
        <f t="shared" si="191"/>
        <v>0</v>
      </c>
      <c r="T128" s="674">
        <f t="shared" si="174"/>
        <v>33080</v>
      </c>
      <c r="U128" s="518"/>
      <c r="V128" s="527">
        <f t="shared" si="192"/>
        <v>0</v>
      </c>
      <c r="W128" s="888"/>
      <c r="X128" s="503">
        <v>24</v>
      </c>
      <c r="Y128" s="512" t="s">
        <v>348</v>
      </c>
      <c r="Z128" s="531" t="s">
        <v>52</v>
      </c>
      <c r="AA128" s="553"/>
      <c r="AB128" s="504">
        <f>AB127</f>
        <v>4</v>
      </c>
      <c r="AC128" s="500">
        <v>1</v>
      </c>
      <c r="AD128" s="501">
        <f t="shared" si="175"/>
        <v>0</v>
      </c>
      <c r="AE128" s="562">
        <v>33080</v>
      </c>
      <c r="AF128" s="510"/>
      <c r="AG128" s="406">
        <f t="shared" si="166"/>
        <v>0</v>
      </c>
      <c r="AH128" s="917"/>
      <c r="AI128" s="529">
        <f t="shared" si="176"/>
        <v>1</v>
      </c>
      <c r="AJ128" s="506">
        <f t="shared" si="177"/>
        <v>33080</v>
      </c>
      <c r="AK128" s="530">
        <v>340</v>
      </c>
      <c r="AL128" s="572">
        <v>33080</v>
      </c>
      <c r="AM128" s="559">
        <f>AL128-AJ128</f>
        <v>0</v>
      </c>
    </row>
    <row r="129" spans="1:44" s="404" customFormat="1" ht="30">
      <c r="A129" s="518">
        <f t="shared" si="167"/>
        <v>25</v>
      </c>
      <c r="B129" s="584" t="str">
        <f t="shared" si="168"/>
        <v>Организация питания воспитанников сада</v>
      </c>
      <c r="C129" s="670" t="str">
        <f t="shared" si="169"/>
        <v>сумма в год</v>
      </c>
      <c r="D129" s="583"/>
      <c r="E129" s="671">
        <f t="shared" si="179"/>
        <v>16</v>
      </c>
      <c r="F129" s="672">
        <v>1</v>
      </c>
      <c r="G129" s="673">
        <f t="shared" si="189"/>
        <v>0</v>
      </c>
      <c r="H129" s="726">
        <f t="shared" si="170"/>
        <v>0</v>
      </c>
      <c r="I129" s="727"/>
      <c r="J129" s="526">
        <f t="shared" si="190"/>
        <v>0</v>
      </c>
      <c r="K129" s="888"/>
      <c r="L129" s="597"/>
      <c r="M129" s="518">
        <f t="shared" si="171"/>
        <v>25</v>
      </c>
      <c r="N129" s="582" t="str">
        <f t="shared" si="172"/>
        <v>Организация питания воспитанников сада</v>
      </c>
      <c r="O129" s="670" t="str">
        <f t="shared" si="173"/>
        <v>сумма в год</v>
      </c>
      <c r="P129" s="583"/>
      <c r="Q129" s="671">
        <f t="shared" si="180"/>
        <v>4</v>
      </c>
      <c r="R129" s="672">
        <v>1</v>
      </c>
      <c r="S129" s="673">
        <f t="shared" ref="S129:S130" si="197">P129*R129/Q129</f>
        <v>0</v>
      </c>
      <c r="T129" s="674">
        <f t="shared" si="174"/>
        <v>0</v>
      </c>
      <c r="U129" s="518"/>
      <c r="V129" s="527">
        <f t="shared" si="192"/>
        <v>0</v>
      </c>
      <c r="W129" s="888"/>
      <c r="X129" s="503">
        <v>25</v>
      </c>
      <c r="Y129" s="512" t="s">
        <v>345</v>
      </c>
      <c r="Z129" s="531" t="s">
        <v>52</v>
      </c>
      <c r="AA129" s="565"/>
      <c r="AB129" s="504">
        <f>AB128</f>
        <v>4</v>
      </c>
      <c r="AC129" s="511">
        <v>1</v>
      </c>
      <c r="AD129" s="501">
        <f t="shared" si="175"/>
        <v>0</v>
      </c>
      <c r="AE129" s="562">
        <v>0</v>
      </c>
      <c r="AF129" s="510"/>
      <c r="AG129" s="406">
        <f t="shared" si="166"/>
        <v>0</v>
      </c>
      <c r="AH129" s="917"/>
      <c r="AI129" s="529">
        <f t="shared" si="176"/>
        <v>0</v>
      </c>
      <c r="AJ129" s="506">
        <f t="shared" si="177"/>
        <v>0</v>
      </c>
      <c r="AK129" s="568" t="s">
        <v>353</v>
      </c>
      <c r="AL129" s="507">
        <f>AG140</f>
        <v>0</v>
      </c>
      <c r="AM129" s="559">
        <f>AL129-AJ129</f>
        <v>0</v>
      </c>
    </row>
    <row r="130" spans="1:44" s="404" customFormat="1" ht="30">
      <c r="A130" s="518">
        <f t="shared" si="167"/>
        <v>26</v>
      </c>
      <c r="B130" s="584" t="str">
        <f t="shared" si="168"/>
        <v>Организация питания воспитанников</v>
      </c>
      <c r="C130" s="670" t="str">
        <f t="shared" si="169"/>
        <v>сумма в год</v>
      </c>
      <c r="D130" s="514">
        <f>1/20*E130</f>
        <v>0.8</v>
      </c>
      <c r="E130" s="671">
        <f t="shared" si="179"/>
        <v>16</v>
      </c>
      <c r="F130" s="672">
        <v>1</v>
      </c>
      <c r="G130" s="673">
        <f t="shared" si="189"/>
        <v>0.05</v>
      </c>
      <c r="H130" s="726">
        <f t="shared" si="170"/>
        <v>27899.55</v>
      </c>
      <c r="I130" s="727"/>
      <c r="J130" s="526">
        <f t="shared" si="190"/>
        <v>1394.9775</v>
      </c>
      <c r="K130" s="888"/>
      <c r="L130" s="597"/>
      <c r="M130" s="518">
        <f t="shared" si="171"/>
        <v>26</v>
      </c>
      <c r="N130" s="582" t="str">
        <f t="shared" si="172"/>
        <v>Организация питания воспитанников</v>
      </c>
      <c r="O130" s="670" t="str">
        <f t="shared" si="173"/>
        <v>сумма в год</v>
      </c>
      <c r="P130" s="514">
        <f>1/20*Q130</f>
        <v>0.2</v>
      </c>
      <c r="Q130" s="671">
        <f t="shared" si="180"/>
        <v>4</v>
      </c>
      <c r="R130" s="672">
        <v>1</v>
      </c>
      <c r="S130" s="673">
        <f t="shared" si="197"/>
        <v>0.05</v>
      </c>
      <c r="T130" s="674">
        <f t="shared" si="174"/>
        <v>27899.55</v>
      </c>
      <c r="U130" s="518"/>
      <c r="V130" s="527">
        <f t="shared" si="165"/>
        <v>1394.9775</v>
      </c>
      <c r="W130" s="888"/>
      <c r="X130" s="503">
        <v>26</v>
      </c>
      <c r="Y130" s="555" t="s">
        <v>170</v>
      </c>
      <c r="Z130" s="531" t="s">
        <v>52</v>
      </c>
      <c r="AA130" s="553"/>
      <c r="AB130" s="504">
        <f t="shared" si="188"/>
        <v>4</v>
      </c>
      <c r="AC130" s="500">
        <v>1</v>
      </c>
      <c r="AD130" s="501">
        <f t="shared" si="175"/>
        <v>0</v>
      </c>
      <c r="AE130" s="554">
        <v>27899.55</v>
      </c>
      <c r="AF130" s="503"/>
      <c r="AG130" s="406">
        <f t="shared" si="166"/>
        <v>0</v>
      </c>
      <c r="AH130" s="917"/>
      <c r="AI130" s="529">
        <f t="shared" si="176"/>
        <v>1</v>
      </c>
      <c r="AJ130" s="506">
        <f t="shared" si="177"/>
        <v>27899.55</v>
      </c>
      <c r="AK130" s="404">
        <v>226</v>
      </c>
      <c r="AL130" s="507">
        <v>27899.55</v>
      </c>
      <c r="AM130" s="559">
        <f t="shared" si="178"/>
        <v>0</v>
      </c>
      <c r="AO130" s="491"/>
      <c r="AP130" s="492"/>
    </row>
    <row r="131" spans="1:44" s="404" customFormat="1">
      <c r="A131" s="556">
        <f t="shared" si="167"/>
        <v>27</v>
      </c>
      <c r="B131" s="584" t="str">
        <f t="shared" si="168"/>
        <v>ГСМ</v>
      </c>
      <c r="C131" s="670" t="str">
        <f t="shared" ref="C131" si="198">O131</f>
        <v>сумма в год</v>
      </c>
      <c r="D131" s="514">
        <f>1/20*E131</f>
        <v>0.8</v>
      </c>
      <c r="E131" s="671">
        <f t="shared" si="179"/>
        <v>16</v>
      </c>
      <c r="F131" s="672">
        <v>1</v>
      </c>
      <c r="G131" s="673">
        <f t="shared" ref="G131" si="199">D131*F131/E131</f>
        <v>0.05</v>
      </c>
      <c r="H131" s="726">
        <f t="shared" ref="H131" si="200">T131</f>
        <v>78400</v>
      </c>
      <c r="I131" s="727"/>
      <c r="J131" s="526">
        <f t="shared" ref="J131" si="201">G131*H131</f>
        <v>3920</v>
      </c>
      <c r="K131" s="888"/>
      <c r="L131" s="597"/>
      <c r="M131" s="518">
        <f t="shared" si="171"/>
        <v>27</v>
      </c>
      <c r="N131" s="582" t="str">
        <f t="shared" si="172"/>
        <v>ГСМ</v>
      </c>
      <c r="O131" s="670" t="str">
        <f t="shared" si="173"/>
        <v>сумма в год</v>
      </c>
      <c r="P131" s="514">
        <f>1/20*Q131</f>
        <v>0.2</v>
      </c>
      <c r="Q131" s="671">
        <f t="shared" si="180"/>
        <v>4</v>
      </c>
      <c r="R131" s="672">
        <v>1</v>
      </c>
      <c r="S131" s="673">
        <f t="shared" ref="S131" si="202">P131*R131/Q131</f>
        <v>0.05</v>
      </c>
      <c r="T131" s="674">
        <f t="shared" si="174"/>
        <v>78400</v>
      </c>
      <c r="U131" s="518"/>
      <c r="V131" s="527">
        <f t="shared" ref="V131" si="203">S131*T131</f>
        <v>3920</v>
      </c>
      <c r="W131" s="888"/>
      <c r="X131" s="503">
        <v>27</v>
      </c>
      <c r="Y131" s="582" t="s">
        <v>363</v>
      </c>
      <c r="Z131" s="531" t="s">
        <v>52</v>
      </c>
      <c r="AA131" s="583"/>
      <c r="AB131" s="504">
        <f t="shared" si="188"/>
        <v>4</v>
      </c>
      <c r="AC131" s="500">
        <v>1</v>
      </c>
      <c r="AD131" s="501">
        <f t="shared" ref="AD131" si="204">IFERROR(AA131*AC131/AB131,0)</f>
        <v>0</v>
      </c>
      <c r="AE131" s="554">
        <v>78400</v>
      </c>
      <c r="AF131" s="503"/>
      <c r="AG131" s="406">
        <f t="shared" ref="AG131" si="205">IFERROR(AD131*AE131,0)</f>
        <v>0</v>
      </c>
      <c r="AH131" s="918"/>
      <c r="AI131" s="529">
        <f t="shared" si="176"/>
        <v>1</v>
      </c>
      <c r="AJ131" s="506">
        <f t="shared" si="177"/>
        <v>78400</v>
      </c>
      <c r="AK131" s="404">
        <v>340</v>
      </c>
      <c r="AL131" s="572">
        <v>78400</v>
      </c>
      <c r="AM131" s="559">
        <f t="shared" si="178"/>
        <v>0</v>
      </c>
      <c r="AO131" s="491"/>
      <c r="AP131" s="492"/>
    </row>
    <row r="132" spans="1:44" ht="15" customHeight="1">
      <c r="A132" s="861" t="s">
        <v>27</v>
      </c>
      <c r="B132" s="862"/>
      <c r="C132" s="862"/>
      <c r="D132" s="862"/>
      <c r="E132" s="862"/>
      <c r="F132" s="862"/>
      <c r="G132" s="862"/>
      <c r="H132" s="862"/>
      <c r="I132" s="863"/>
      <c r="J132" s="470">
        <f>SUM(J105:J131)</f>
        <v>32446.497500000001</v>
      </c>
      <c r="K132" s="888"/>
      <c r="L132" s="333"/>
      <c r="M132" s="881" t="s">
        <v>27</v>
      </c>
      <c r="N132" s="882"/>
      <c r="O132" s="882"/>
      <c r="P132" s="882"/>
      <c r="Q132" s="882"/>
      <c r="R132" s="882"/>
      <c r="S132" s="882"/>
      <c r="T132" s="882"/>
      <c r="U132" s="883"/>
      <c r="V132" s="471">
        <f>SUM(V105:V131)</f>
        <v>30378.997500000001</v>
      </c>
      <c r="W132" s="888"/>
      <c r="X132" s="911" t="s">
        <v>27</v>
      </c>
      <c r="Y132" s="911"/>
      <c r="Z132" s="911"/>
      <c r="AA132" s="911"/>
      <c r="AB132" s="911"/>
      <c r="AC132" s="911"/>
      <c r="AD132" s="911"/>
      <c r="AE132" s="911"/>
      <c r="AF132" s="911"/>
      <c r="AG132" s="360">
        <f>SUM(AG105:AG131)</f>
        <v>0</v>
      </c>
      <c r="AH132" s="917"/>
      <c r="AI132" s="497">
        <f>AG132*AB131+V132*Q131+J132*E131</f>
        <v>640659.95000000007</v>
      </c>
      <c r="AJ132" s="462">
        <f>SUM(AJ105:AJ131)</f>
        <v>640659.95000000007</v>
      </c>
      <c r="AL132" s="50" t="s">
        <v>362</v>
      </c>
      <c r="AO132" s="39"/>
      <c r="AP132" s="39"/>
    </row>
    <row r="133" spans="1:44" ht="15" customHeight="1">
      <c r="A133" s="864" t="s">
        <v>109</v>
      </c>
      <c r="B133" s="865"/>
      <c r="C133" s="865"/>
      <c r="D133" s="865"/>
      <c r="E133" s="865"/>
      <c r="F133" s="865"/>
      <c r="G133" s="865"/>
      <c r="H133" s="865"/>
      <c r="I133" s="866"/>
      <c r="J133" s="697">
        <f>J67+J79+J84+J89+J94+J103+J132</f>
        <v>321007.12274999951</v>
      </c>
      <c r="K133" s="888"/>
      <c r="L133" s="333"/>
      <c r="M133" s="864" t="s">
        <v>109</v>
      </c>
      <c r="N133" s="865"/>
      <c r="O133" s="865"/>
      <c r="P133" s="865"/>
      <c r="Q133" s="865"/>
      <c r="R133" s="865"/>
      <c r="S133" s="865"/>
      <c r="T133" s="865"/>
      <c r="U133" s="866"/>
      <c r="V133" s="472">
        <f>V67+V79+V84+V89+V94+V103+V132</f>
        <v>318939.62274999951</v>
      </c>
      <c r="W133" s="888"/>
      <c r="X133" s="912" t="s">
        <v>109</v>
      </c>
      <c r="Y133" s="913"/>
      <c r="Z133" s="913"/>
      <c r="AA133" s="913"/>
      <c r="AB133" s="913"/>
      <c r="AC133" s="913"/>
      <c r="AD133" s="913"/>
      <c r="AE133" s="913"/>
      <c r="AF133" s="865"/>
      <c r="AG133" s="360">
        <f>AG67+AG79+AG84+AG89+AG94+AG103+AG132</f>
        <v>53499.811249999366</v>
      </c>
      <c r="AH133" s="917"/>
      <c r="AI133" s="328"/>
      <c r="AJ133" s="461">
        <f>AJ132+AJ103+AJ94+AJ89+AJ79+AJ67</f>
        <v>6625871.6999999881</v>
      </c>
      <c r="AM133" s="50"/>
    </row>
    <row r="134" spans="1:44" ht="15" customHeight="1">
      <c r="A134" s="864" t="s">
        <v>110</v>
      </c>
      <c r="B134" s="865"/>
      <c r="C134" s="865"/>
      <c r="D134" s="865"/>
      <c r="E134" s="865"/>
      <c r="F134" s="865"/>
      <c r="G134" s="865"/>
      <c r="H134" s="865"/>
      <c r="I134" s="866"/>
      <c r="J134" s="697">
        <f>J133+J58</f>
        <v>557794.20608333277</v>
      </c>
      <c r="K134" s="888"/>
      <c r="M134" s="864" t="s">
        <v>110</v>
      </c>
      <c r="N134" s="865"/>
      <c r="O134" s="865"/>
      <c r="P134" s="865"/>
      <c r="Q134" s="865"/>
      <c r="R134" s="865"/>
      <c r="S134" s="865"/>
      <c r="T134" s="865"/>
      <c r="U134" s="866"/>
      <c r="V134" s="472">
        <f>V133+V58</f>
        <v>568457.95608333277</v>
      </c>
      <c r="W134" s="888"/>
      <c r="X134" s="912" t="s">
        <v>110</v>
      </c>
      <c r="Y134" s="913"/>
      <c r="Z134" s="913"/>
      <c r="AA134" s="913"/>
      <c r="AB134" s="913"/>
      <c r="AC134" s="913"/>
      <c r="AD134" s="913"/>
      <c r="AE134" s="913"/>
      <c r="AF134" s="865"/>
      <c r="AG134" s="369">
        <f>AG133+AG58</f>
        <v>277833.14458333264</v>
      </c>
      <c r="AH134" s="917"/>
      <c r="AJ134" s="463">
        <f>AJ133+AJ58</f>
        <v>12309871.699999986</v>
      </c>
      <c r="AM134" s="50"/>
    </row>
    <row r="135" spans="1:44">
      <c r="I135" s="5">
        <f>C7</f>
        <v>16</v>
      </c>
      <c r="J135" s="37">
        <f>J134*I135</f>
        <v>8924707.2973333243</v>
      </c>
      <c r="U135" s="5">
        <f>O7</f>
        <v>4</v>
      </c>
      <c r="V135" s="37">
        <f>V134*U135</f>
        <v>2273831.8243333311</v>
      </c>
      <c r="AC135" s="39"/>
      <c r="AF135" s="5">
        <f>Z7</f>
        <v>4</v>
      </c>
      <c r="AG135" s="37">
        <f>AG134*AF135</f>
        <v>1111332.5783333306</v>
      </c>
      <c r="AH135" s="24">
        <f>AG134*Z7+V134*Q128+J134*E128</f>
        <v>12309871.699999986</v>
      </c>
      <c r="AI135" s="331"/>
      <c r="AK135" s="47"/>
    </row>
    <row r="136" spans="1:44">
      <c r="J136" s="17"/>
      <c r="V136" s="17"/>
      <c r="AJ136" s="50">
        <f>AJ132+AJ103+AJ94+AJ89+AJ84+AJ79+AJ67+AJ57+AJ45+AI14</f>
        <v>12309871.699999986</v>
      </c>
      <c r="AK136" s="50"/>
    </row>
    <row r="137" spans="1:44">
      <c r="J137" s="24"/>
      <c r="V137" s="24"/>
      <c r="AH137" s="48"/>
      <c r="AI137" s="48"/>
      <c r="AJ137" s="465"/>
      <c r="AK137" s="50"/>
      <c r="AL137" s="415"/>
      <c r="AN137" s="50"/>
      <c r="AO137" s="50"/>
      <c r="AP137" s="50"/>
      <c r="AQ137" s="329"/>
      <c r="AR137" s="50"/>
    </row>
    <row r="138" spans="1:44">
      <c r="AH138" s="50"/>
      <c r="AI138" s="47"/>
      <c r="AJ138" s="415"/>
      <c r="AN138" s="50"/>
      <c r="AO138" s="50"/>
      <c r="AP138" s="50"/>
      <c r="AQ138" s="329"/>
      <c r="AR138" s="50"/>
    </row>
    <row r="139" spans="1:44">
      <c r="AF139" s="50" t="s">
        <v>287</v>
      </c>
      <c r="AG139" s="416">
        <v>12309871.699999999</v>
      </c>
      <c r="AH139" s="24">
        <f>AG135+V135+J135</f>
        <v>12309871.699999986</v>
      </c>
      <c r="AI139" s="331"/>
      <c r="AJ139" s="415"/>
      <c r="AN139" s="50"/>
      <c r="AO139" s="50"/>
      <c r="AP139" s="50"/>
      <c r="AR139" s="50"/>
    </row>
    <row r="140" spans="1:44">
      <c r="AF140" s="50" t="s">
        <v>308</v>
      </c>
      <c r="AG140" s="416">
        <v>0</v>
      </c>
      <c r="AH140" s="329"/>
      <c r="AI140" s="331"/>
      <c r="AK140" s="50"/>
      <c r="AL140" s="473"/>
      <c r="AN140" s="50"/>
      <c r="AO140" s="50"/>
      <c r="AP140" s="50"/>
    </row>
    <row r="141" spans="1:44">
      <c r="Y141" s="24"/>
      <c r="Z141" s="24"/>
      <c r="AA141" s="24"/>
      <c r="AB141" s="24"/>
      <c r="AC141" s="24"/>
      <c r="AD141" s="24"/>
      <c r="AE141" s="24"/>
      <c r="AF141" s="24"/>
      <c r="AG141" s="24">
        <f>AG139+AG140-AH139</f>
        <v>0</v>
      </c>
      <c r="AH141" s="107"/>
      <c r="AI141" s="107"/>
      <c r="AJ141" s="423"/>
    </row>
    <row r="142" spans="1:44">
      <c r="AC142" s="329"/>
      <c r="AH142" s="24"/>
      <c r="AI142" s="331"/>
    </row>
    <row r="143" spans="1:44">
      <c r="AB143" s="476" t="s">
        <v>329</v>
      </c>
      <c r="AC143" s="476" t="s">
        <v>330</v>
      </c>
      <c r="AD143" s="476"/>
      <c r="AE143" s="476" t="s">
        <v>331</v>
      </c>
      <c r="AF143" s="476" t="s">
        <v>332</v>
      </c>
    </row>
    <row r="144" spans="1:44">
      <c r="AB144" s="476">
        <v>7409</v>
      </c>
      <c r="AC144" s="476">
        <v>7564</v>
      </c>
      <c r="AD144" s="476" t="s">
        <v>286</v>
      </c>
      <c r="AE144" s="476">
        <v>7408</v>
      </c>
      <c r="AF144" s="476">
        <v>7588</v>
      </c>
    </row>
    <row r="145" spans="6:40">
      <c r="Z145" s="329" t="s">
        <v>312</v>
      </c>
      <c r="AA145" s="5">
        <v>211.21299999999999</v>
      </c>
      <c r="AB145" s="433">
        <f>974650.9+294344.57</f>
        <v>1268995.47</v>
      </c>
      <c r="AC145" s="433">
        <f>4109062.98+1240937.02</f>
        <v>5350000</v>
      </c>
      <c r="AD145" s="433">
        <f>2968453.6+896472.99</f>
        <v>3864926.59</v>
      </c>
      <c r="AE145" s="433"/>
      <c r="AF145" s="433"/>
      <c r="AG145" s="50">
        <f>SUM(AB145:AF145)</f>
        <v>10483922.059999999</v>
      </c>
      <c r="AI145" s="329" t="s">
        <v>324</v>
      </c>
      <c r="AK145" s="326"/>
    </row>
    <row r="146" spans="6:40">
      <c r="Z146" s="329" t="s">
        <v>314</v>
      </c>
      <c r="AA146" s="5">
        <v>212</v>
      </c>
      <c r="AB146" s="433">
        <v>25000</v>
      </c>
      <c r="AC146" s="433">
        <v>9000</v>
      </c>
      <c r="AD146" s="433">
        <v>0</v>
      </c>
      <c r="AE146" s="433"/>
      <c r="AF146" s="433"/>
      <c r="AG146" s="50">
        <f t="shared" ref="AG146:AG155" si="206">SUM(AB146:AF146)</f>
        <v>34000</v>
      </c>
      <c r="AI146" s="329">
        <v>0</v>
      </c>
      <c r="AJ146" s="50" t="s">
        <v>325</v>
      </c>
      <c r="AK146" s="326"/>
    </row>
    <row r="147" spans="6:40" s="329" customFormat="1">
      <c r="F147" s="14"/>
      <c r="L147" s="23"/>
      <c r="R147" s="14"/>
      <c r="Z147" s="329" t="s">
        <v>313</v>
      </c>
      <c r="AA147" s="329">
        <v>212</v>
      </c>
      <c r="AB147" s="50"/>
      <c r="AC147" s="50"/>
      <c r="AD147" s="50"/>
      <c r="AE147" s="50"/>
      <c r="AF147" s="50"/>
      <c r="AG147" s="50">
        <f t="shared" si="206"/>
        <v>0</v>
      </c>
      <c r="AI147" s="329">
        <v>35</v>
      </c>
      <c r="AJ147" s="50" t="s">
        <v>326</v>
      </c>
      <c r="AK147" s="326"/>
      <c r="AL147" s="50"/>
    </row>
    <row r="148" spans="6:40">
      <c r="Z148" s="329" t="s">
        <v>315</v>
      </c>
      <c r="AA148" s="5">
        <v>221</v>
      </c>
      <c r="AB148" s="433">
        <v>50000</v>
      </c>
      <c r="AC148" s="433">
        <v>160000</v>
      </c>
      <c r="AD148" s="433">
        <v>18671.68</v>
      </c>
      <c r="AE148" s="433"/>
      <c r="AF148" s="50"/>
      <c r="AG148" s="50">
        <f t="shared" si="206"/>
        <v>228671.68</v>
      </c>
      <c r="AI148" s="329">
        <v>18</v>
      </c>
      <c r="AJ148" s="50" t="s">
        <v>327</v>
      </c>
      <c r="AK148" s="326"/>
    </row>
    <row r="149" spans="6:40">
      <c r="Z149" s="329" t="s">
        <v>316</v>
      </c>
      <c r="AA149" s="5">
        <v>222</v>
      </c>
      <c r="AB149" s="433">
        <v>60000</v>
      </c>
      <c r="AC149" s="433"/>
      <c r="AD149" s="433">
        <v>21000</v>
      </c>
      <c r="AE149" s="423"/>
      <c r="AF149" s="50"/>
      <c r="AG149" s="50">
        <f t="shared" si="206"/>
        <v>81000</v>
      </c>
      <c r="AI149" s="329">
        <v>2.25</v>
      </c>
      <c r="AJ149" s="50" t="s">
        <v>328</v>
      </c>
      <c r="AK149" s="326"/>
    </row>
    <row r="150" spans="6:40">
      <c r="Z150" s="329" t="s">
        <v>317</v>
      </c>
      <c r="AA150" s="5">
        <v>223</v>
      </c>
      <c r="AB150" s="50"/>
      <c r="AC150" s="50"/>
      <c r="AD150" s="433">
        <v>435536.98</v>
      </c>
      <c r="AE150" s="50"/>
      <c r="AF150" s="50"/>
      <c r="AG150" s="50">
        <f t="shared" si="206"/>
        <v>435536.98</v>
      </c>
      <c r="AI150" s="329">
        <v>7</v>
      </c>
      <c r="AJ150" s="50" t="s">
        <v>135</v>
      </c>
      <c r="AK150" s="326"/>
    </row>
    <row r="151" spans="6:40">
      <c r="Z151" s="329" t="s">
        <v>318</v>
      </c>
      <c r="AA151" s="5">
        <v>225</v>
      </c>
      <c r="AB151" s="50"/>
      <c r="AC151" s="50"/>
      <c r="AD151" s="433">
        <v>316081.03000000003</v>
      </c>
      <c r="AE151" s="50"/>
      <c r="AF151" s="50"/>
      <c r="AG151" s="50">
        <f t="shared" si="206"/>
        <v>316081.03000000003</v>
      </c>
      <c r="AJ151" s="50">
        <f>AI146*AI147*AI148*AI149/AI150</f>
        <v>0</v>
      </c>
      <c r="AK151" s="326"/>
    </row>
    <row r="152" spans="6:40">
      <c r="Z152" s="329" t="s">
        <v>319</v>
      </c>
      <c r="AA152" s="5">
        <v>226</v>
      </c>
      <c r="AB152" s="433">
        <v>110000</v>
      </c>
      <c r="AC152" s="433">
        <v>25000</v>
      </c>
      <c r="AD152" s="433">
        <v>269529.95</v>
      </c>
      <c r="AE152" s="433"/>
      <c r="AF152" s="433"/>
      <c r="AG152" s="50">
        <f t="shared" si="206"/>
        <v>404529.95</v>
      </c>
      <c r="AK152" s="326"/>
      <c r="AN152" s="326"/>
    </row>
    <row r="153" spans="6:40">
      <c r="Z153" s="329" t="s">
        <v>320</v>
      </c>
      <c r="AA153" s="5">
        <v>290</v>
      </c>
      <c r="AB153" s="50"/>
      <c r="AC153" s="50"/>
      <c r="AD153" s="433">
        <v>2000</v>
      </c>
      <c r="AE153" s="50"/>
      <c r="AF153" s="50"/>
      <c r="AG153" s="50">
        <f t="shared" si="206"/>
        <v>2000</v>
      </c>
      <c r="AK153" s="326"/>
    </row>
    <row r="154" spans="6:40">
      <c r="Z154" s="329" t="s">
        <v>321</v>
      </c>
      <c r="AA154" s="5">
        <v>310</v>
      </c>
      <c r="AB154" s="50"/>
      <c r="AC154" s="50"/>
      <c r="AD154" s="50"/>
      <c r="AE154" s="50"/>
      <c r="AF154" s="50"/>
      <c r="AG154" s="50">
        <f t="shared" si="206"/>
        <v>0</v>
      </c>
      <c r="AK154" s="326"/>
    </row>
    <row r="155" spans="6:40">
      <c r="Z155" s="329" t="s">
        <v>322</v>
      </c>
      <c r="AA155" s="5">
        <v>340</v>
      </c>
      <c r="AB155" s="433">
        <v>50000</v>
      </c>
      <c r="AC155" s="433">
        <v>40000</v>
      </c>
      <c r="AD155" s="433">
        <v>234130</v>
      </c>
      <c r="AE155" s="433"/>
      <c r="AF155" s="433"/>
      <c r="AG155" s="50">
        <f t="shared" si="206"/>
        <v>324130</v>
      </c>
      <c r="AK155" s="326"/>
    </row>
    <row r="156" spans="6:40">
      <c r="AB156" s="477">
        <f>SUM(AB145:AB155)</f>
        <v>1563995.47</v>
      </c>
      <c r="AC156" s="477">
        <f t="shared" ref="AC156:AF156" si="207">SUM(AC145:AC155)</f>
        <v>5584000</v>
      </c>
      <c r="AD156" s="477">
        <f t="shared" si="207"/>
        <v>5161876.2300000004</v>
      </c>
      <c r="AE156" s="477">
        <f t="shared" si="207"/>
        <v>0</v>
      </c>
      <c r="AF156" s="477">
        <f t="shared" si="207"/>
        <v>0</v>
      </c>
      <c r="AG156" s="50">
        <f>SUM(AG145:AG155)</f>
        <v>12309871.699999997</v>
      </c>
      <c r="AH156" s="50"/>
      <c r="AI156" s="50"/>
      <c r="AK156" s="326"/>
    </row>
    <row r="157" spans="6:40">
      <c r="AF157" s="50">
        <f>SUM(AB156:AF156)</f>
        <v>12309871.699999999</v>
      </c>
      <c r="AG157" s="50">
        <f>AF157-AG156</f>
        <v>0</v>
      </c>
      <c r="AH157" s="50"/>
      <c r="AI157" s="50"/>
    </row>
    <row r="158" spans="6:40">
      <c r="AH158" s="50"/>
    </row>
    <row r="160" spans="6:40">
      <c r="AH160" s="50"/>
    </row>
    <row r="258" spans="2:42">
      <c r="B258" s="39"/>
      <c r="C258" s="39"/>
      <c r="D258" s="39"/>
      <c r="E258" s="39"/>
      <c r="F258" s="39"/>
      <c r="G258" s="39"/>
      <c r="H258" s="39"/>
      <c r="I258" s="39"/>
      <c r="J258" s="39"/>
      <c r="K258" s="39"/>
      <c r="L258" s="100"/>
      <c r="N258" s="39"/>
      <c r="O258" s="39"/>
      <c r="P258" s="39"/>
      <c r="Q258" s="39"/>
      <c r="R258" s="39"/>
      <c r="S258" s="39"/>
      <c r="T258" s="39"/>
      <c r="U258" s="39"/>
      <c r="V258" s="39"/>
      <c r="W258" s="39"/>
      <c r="Y258" s="39"/>
      <c r="Z258" s="39"/>
      <c r="AA258" s="39"/>
      <c r="AB258" s="39"/>
      <c r="AC258" s="39"/>
      <c r="AD258" s="39"/>
      <c r="AE258" s="39"/>
      <c r="AF258" s="39"/>
      <c r="AG258" s="39"/>
      <c r="AH258" s="39"/>
      <c r="AI258" s="39"/>
      <c r="AJ258" s="423"/>
      <c r="AK258" s="39"/>
      <c r="AL258" s="423"/>
      <c r="AM258" s="39"/>
      <c r="AN258" s="39"/>
      <c r="AO258" s="39"/>
      <c r="AP258" s="39"/>
    </row>
    <row r="259" spans="2:42">
      <c r="B259" s="39"/>
      <c r="C259" s="39"/>
      <c r="D259" s="39"/>
      <c r="E259" s="39"/>
      <c r="F259" s="39"/>
      <c r="G259" s="39"/>
      <c r="H259" s="39"/>
      <c r="I259" s="39"/>
      <c r="J259" s="39"/>
      <c r="K259" s="39"/>
      <c r="L259" s="100"/>
      <c r="N259" s="39"/>
      <c r="O259" s="39"/>
      <c r="P259" s="39"/>
      <c r="Q259" s="39"/>
      <c r="R259" s="39"/>
      <c r="S259" s="39"/>
      <c r="T259" s="39"/>
      <c r="U259" s="39"/>
      <c r="V259" s="39"/>
      <c r="W259" s="39"/>
      <c r="Y259" s="39"/>
      <c r="Z259" s="39"/>
      <c r="AA259" s="39"/>
      <c r="AB259" s="39"/>
      <c r="AC259" s="39"/>
      <c r="AD259" s="39"/>
      <c r="AE259" s="39"/>
      <c r="AF259" s="39"/>
      <c r="AG259" s="39"/>
      <c r="AH259" s="39"/>
      <c r="AI259" s="39"/>
      <c r="AJ259" s="423"/>
      <c r="AK259" s="39"/>
      <c r="AL259" s="423"/>
      <c r="AM259" s="39"/>
      <c r="AN259" s="39"/>
      <c r="AO259" s="39"/>
      <c r="AP259" s="39"/>
    </row>
    <row r="260" spans="2:42">
      <c r="B260" s="39"/>
      <c r="C260" s="39"/>
      <c r="D260" s="39"/>
      <c r="E260" s="39"/>
      <c r="F260" s="39"/>
      <c r="G260" s="39"/>
      <c r="H260" s="39"/>
      <c r="I260" s="39"/>
      <c r="J260" s="39"/>
      <c r="K260" s="39"/>
      <c r="L260" s="100"/>
      <c r="N260" s="39"/>
      <c r="O260" s="39"/>
      <c r="P260" s="39"/>
      <c r="Q260" s="39"/>
      <c r="R260" s="39"/>
      <c r="S260" s="39"/>
      <c r="T260" s="39"/>
      <c r="U260" s="39"/>
      <c r="V260" s="39"/>
      <c r="W260" s="39"/>
      <c r="Y260" s="39"/>
      <c r="Z260" s="39"/>
      <c r="AA260" s="39"/>
      <c r="AB260" s="39"/>
      <c r="AC260" s="39"/>
      <c r="AD260" s="39"/>
      <c r="AE260" s="39"/>
      <c r="AF260" s="39"/>
      <c r="AG260" s="39"/>
      <c r="AH260" s="39"/>
      <c r="AI260" s="39"/>
      <c r="AJ260" s="423"/>
      <c r="AK260" s="39"/>
      <c r="AL260" s="423"/>
      <c r="AM260" s="39"/>
      <c r="AN260" s="39"/>
      <c r="AO260" s="39"/>
      <c r="AP260" s="39"/>
    </row>
    <row r="261" spans="2:42">
      <c r="B261" s="39"/>
      <c r="C261" s="39"/>
      <c r="D261" s="39"/>
      <c r="E261" s="39"/>
      <c r="F261" s="39"/>
      <c r="G261" s="39"/>
      <c r="H261" s="39"/>
      <c r="I261" s="39"/>
      <c r="J261" s="39"/>
      <c r="K261" s="39"/>
      <c r="L261" s="100"/>
      <c r="N261" s="39"/>
      <c r="O261" s="39"/>
      <c r="P261" s="39"/>
      <c r="Q261" s="39"/>
      <c r="R261" s="39"/>
      <c r="S261" s="39"/>
      <c r="T261" s="39"/>
      <c r="U261" s="39"/>
      <c r="V261" s="39"/>
      <c r="W261" s="39"/>
      <c r="Y261" s="39"/>
      <c r="Z261" s="39"/>
      <c r="AA261" s="39"/>
      <c r="AB261" s="39"/>
      <c r="AC261" s="39"/>
      <c r="AD261" s="39"/>
      <c r="AE261" s="39"/>
      <c r="AF261" s="39"/>
      <c r="AG261" s="39"/>
      <c r="AH261" s="39"/>
      <c r="AI261" s="39"/>
      <c r="AJ261" s="423"/>
      <c r="AK261" s="39"/>
      <c r="AL261" s="423"/>
      <c r="AM261" s="39"/>
      <c r="AN261" s="39"/>
      <c r="AO261" s="39"/>
      <c r="AP261" s="39"/>
    </row>
    <row r="262" spans="2:42">
      <c r="B262" s="39"/>
      <c r="C262" s="39"/>
      <c r="D262" s="39"/>
      <c r="E262" s="39"/>
      <c r="F262" s="39"/>
      <c r="G262" s="39"/>
      <c r="H262" s="39"/>
      <c r="I262" s="39"/>
      <c r="J262" s="39"/>
      <c r="K262" s="39"/>
      <c r="L262" s="100"/>
      <c r="N262" s="39"/>
      <c r="O262" s="39"/>
      <c r="P262" s="39"/>
      <c r="Q262" s="39"/>
      <c r="R262" s="39"/>
      <c r="S262" s="39"/>
      <c r="T262" s="39"/>
      <c r="U262" s="39"/>
      <c r="V262" s="39"/>
      <c r="W262" s="39"/>
      <c r="Y262" s="39"/>
      <c r="Z262" s="39"/>
      <c r="AA262" s="39"/>
      <c r="AB262" s="39"/>
      <c r="AC262" s="39"/>
      <c r="AD262" s="39"/>
      <c r="AE262" s="39"/>
      <c r="AF262" s="39"/>
      <c r="AG262" s="39"/>
      <c r="AH262" s="39"/>
      <c r="AI262" s="39"/>
      <c r="AJ262" s="423"/>
      <c r="AK262" s="39"/>
      <c r="AL262" s="423"/>
      <c r="AM262" s="39"/>
      <c r="AN262" s="39"/>
      <c r="AO262" s="39"/>
      <c r="AP262" s="39"/>
    </row>
    <row r="263" spans="2:42">
      <c r="B263" s="39"/>
      <c r="C263" s="39"/>
      <c r="D263" s="39"/>
      <c r="E263" s="39"/>
      <c r="F263" s="39"/>
      <c r="G263" s="39"/>
      <c r="H263" s="39"/>
      <c r="I263" s="39"/>
      <c r="J263" s="39"/>
      <c r="K263" s="39"/>
      <c r="L263" s="100"/>
      <c r="N263" s="39"/>
      <c r="O263" s="39"/>
      <c r="P263" s="39"/>
      <c r="Q263" s="39"/>
      <c r="R263" s="39"/>
      <c r="S263" s="39"/>
      <c r="T263" s="39"/>
      <c r="U263" s="39"/>
      <c r="V263" s="39"/>
      <c r="W263" s="39"/>
      <c r="Y263" s="39"/>
      <c r="Z263" s="39"/>
      <c r="AA263" s="39"/>
      <c r="AB263" s="39"/>
      <c r="AC263" s="39"/>
      <c r="AD263" s="39"/>
      <c r="AE263" s="39"/>
      <c r="AF263" s="39"/>
      <c r="AG263" s="39"/>
      <c r="AH263" s="39"/>
      <c r="AI263" s="39"/>
      <c r="AJ263" s="423"/>
      <c r="AK263" s="39"/>
      <c r="AL263" s="423"/>
      <c r="AM263" s="39"/>
      <c r="AN263" s="39"/>
      <c r="AO263" s="39"/>
      <c r="AP263" s="39"/>
    </row>
    <row r="264" spans="2:42">
      <c r="B264" s="39"/>
      <c r="C264" s="39"/>
      <c r="D264" s="39"/>
      <c r="E264" s="39"/>
      <c r="F264" s="39"/>
      <c r="G264" s="39"/>
      <c r="H264" s="39"/>
      <c r="I264" s="39"/>
      <c r="J264" s="39"/>
      <c r="K264" s="39"/>
      <c r="L264" s="100"/>
      <c r="N264" s="39"/>
      <c r="O264" s="39"/>
      <c r="P264" s="39"/>
      <c r="Q264" s="39"/>
      <c r="R264" s="39"/>
      <c r="S264" s="39"/>
      <c r="T264" s="39"/>
      <c r="U264" s="39"/>
      <c r="V264" s="39"/>
      <c r="W264" s="39"/>
      <c r="Y264" s="39"/>
      <c r="Z264" s="39"/>
      <c r="AA264" s="39"/>
      <c r="AB264" s="39"/>
      <c r="AC264" s="39"/>
      <c r="AD264" s="39"/>
      <c r="AE264" s="39"/>
      <c r="AF264" s="39"/>
      <c r="AG264" s="39"/>
      <c r="AH264" s="39"/>
      <c r="AI264" s="39"/>
      <c r="AJ264" s="423"/>
      <c r="AK264" s="39"/>
      <c r="AL264" s="423"/>
      <c r="AM264" s="39"/>
      <c r="AN264" s="39"/>
      <c r="AO264" s="39"/>
      <c r="AP264" s="39"/>
    </row>
    <row r="265" spans="2:42">
      <c r="B265" s="39"/>
      <c r="C265" s="39"/>
      <c r="D265" s="39"/>
      <c r="E265" s="39"/>
      <c r="F265" s="39"/>
      <c r="G265" s="39"/>
      <c r="H265" s="39"/>
      <c r="I265" s="39"/>
      <c r="J265" s="39"/>
      <c r="K265" s="39"/>
      <c r="L265" s="100"/>
      <c r="N265" s="39"/>
      <c r="O265" s="39"/>
      <c r="P265" s="39"/>
      <c r="Q265" s="39"/>
      <c r="R265" s="39"/>
      <c r="S265" s="39"/>
      <c r="T265" s="39"/>
      <c r="U265" s="39"/>
      <c r="V265" s="39"/>
      <c r="W265" s="39"/>
      <c r="Y265" s="39"/>
      <c r="Z265" s="39"/>
      <c r="AA265" s="39"/>
      <c r="AB265" s="39"/>
      <c r="AC265" s="39"/>
      <c r="AD265" s="39"/>
      <c r="AE265" s="39"/>
      <c r="AF265" s="39"/>
      <c r="AG265" s="39"/>
      <c r="AH265" s="39"/>
      <c r="AI265" s="39"/>
      <c r="AJ265" s="423"/>
      <c r="AK265" s="39"/>
      <c r="AL265" s="423"/>
      <c r="AM265" s="39"/>
      <c r="AN265" s="39"/>
      <c r="AO265" s="39"/>
      <c r="AP265" s="39"/>
    </row>
    <row r="266" spans="2:42">
      <c r="B266" s="39"/>
      <c r="C266" s="39"/>
      <c r="D266" s="39"/>
      <c r="E266" s="39"/>
      <c r="F266" s="39"/>
      <c r="G266" s="39"/>
      <c r="H266" s="39"/>
      <c r="I266" s="39"/>
      <c r="J266" s="39"/>
      <c r="K266" s="39"/>
      <c r="L266" s="100"/>
      <c r="N266" s="39"/>
      <c r="O266" s="39"/>
      <c r="P266" s="39"/>
      <c r="Q266" s="39"/>
      <c r="R266" s="39"/>
      <c r="S266" s="39"/>
      <c r="T266" s="39"/>
      <c r="U266" s="39"/>
      <c r="V266" s="39"/>
      <c r="W266" s="39"/>
      <c r="Y266" s="39"/>
      <c r="Z266" s="39"/>
      <c r="AA266" s="39"/>
      <c r="AB266" s="39"/>
      <c r="AC266" s="39"/>
      <c r="AD266" s="39"/>
      <c r="AE266" s="39"/>
      <c r="AF266" s="39"/>
      <c r="AG266" s="39"/>
      <c r="AH266" s="39"/>
      <c r="AI266" s="39"/>
      <c r="AJ266" s="423"/>
      <c r="AK266" s="39"/>
      <c r="AL266" s="423"/>
      <c r="AM266" s="39"/>
      <c r="AN266" s="39"/>
      <c r="AO266" s="39"/>
      <c r="AP266" s="39"/>
    </row>
    <row r="267" spans="2:42">
      <c r="B267" s="39"/>
      <c r="C267" s="39"/>
      <c r="D267" s="39"/>
      <c r="E267" s="39"/>
      <c r="F267" s="39"/>
      <c r="G267" s="39"/>
      <c r="H267" s="39"/>
      <c r="I267" s="39"/>
      <c r="J267" s="39"/>
      <c r="K267" s="39"/>
      <c r="L267" s="100"/>
      <c r="N267" s="39"/>
      <c r="O267" s="39"/>
      <c r="P267" s="39"/>
      <c r="Q267" s="39"/>
      <c r="R267" s="39"/>
      <c r="S267" s="39"/>
      <c r="T267" s="39"/>
      <c r="U267" s="39"/>
      <c r="V267" s="39"/>
      <c r="W267" s="39"/>
      <c r="Y267" s="39"/>
      <c r="Z267" s="39"/>
      <c r="AA267" s="39"/>
      <c r="AB267" s="39"/>
      <c r="AC267" s="39"/>
      <c r="AD267" s="39"/>
      <c r="AE267" s="39"/>
      <c r="AF267" s="39"/>
      <c r="AG267" s="39"/>
      <c r="AH267" s="39"/>
      <c r="AI267" s="39"/>
      <c r="AJ267" s="423"/>
      <c r="AK267" s="39"/>
      <c r="AL267" s="423"/>
      <c r="AM267" s="39"/>
      <c r="AN267" s="39"/>
      <c r="AO267" s="39"/>
      <c r="AP267" s="39"/>
    </row>
    <row r="268" spans="2:42">
      <c r="B268" s="39"/>
      <c r="C268" s="39"/>
      <c r="D268" s="39"/>
      <c r="E268" s="39"/>
      <c r="F268" s="39"/>
      <c r="G268" s="39"/>
      <c r="H268" s="39"/>
      <c r="I268" s="39"/>
      <c r="J268" s="39"/>
      <c r="K268" s="39"/>
      <c r="L268" s="100"/>
      <c r="N268" s="39"/>
      <c r="O268" s="39"/>
      <c r="P268" s="39"/>
      <c r="Q268" s="39"/>
      <c r="R268" s="39"/>
      <c r="S268" s="39"/>
      <c r="T268" s="39"/>
      <c r="U268" s="39"/>
      <c r="V268" s="39"/>
      <c r="W268" s="39"/>
      <c r="Y268" s="39"/>
      <c r="Z268" s="39"/>
      <c r="AA268" s="39"/>
      <c r="AB268" s="39"/>
      <c r="AC268" s="39"/>
      <c r="AD268" s="39"/>
      <c r="AE268" s="39"/>
      <c r="AF268" s="39"/>
      <c r="AG268" s="39"/>
      <c r="AH268" s="39"/>
      <c r="AI268" s="39"/>
      <c r="AJ268" s="423"/>
      <c r="AK268" s="39"/>
      <c r="AL268" s="423"/>
      <c r="AM268" s="39"/>
      <c r="AN268" s="39"/>
      <c r="AO268" s="39"/>
      <c r="AP268" s="39"/>
    </row>
    <row r="269" spans="2:42">
      <c r="B269" s="39"/>
      <c r="C269" s="39"/>
      <c r="D269" s="39"/>
      <c r="E269" s="39"/>
      <c r="F269" s="39"/>
      <c r="G269" s="39"/>
      <c r="H269" s="39"/>
      <c r="I269" s="39"/>
      <c r="J269" s="39"/>
      <c r="K269" s="39"/>
      <c r="L269" s="100"/>
      <c r="N269" s="39"/>
      <c r="O269" s="39"/>
      <c r="P269" s="39"/>
      <c r="Q269" s="39"/>
      <c r="R269" s="39"/>
      <c r="S269" s="39"/>
      <c r="T269" s="39"/>
      <c r="U269" s="39"/>
      <c r="V269" s="39"/>
      <c r="W269" s="39"/>
      <c r="Y269" s="39"/>
      <c r="Z269" s="39"/>
      <c r="AA269" s="39"/>
      <c r="AB269" s="39"/>
      <c r="AC269" s="39"/>
      <c r="AD269" s="39"/>
      <c r="AE269" s="39"/>
      <c r="AF269" s="39"/>
      <c r="AG269" s="39"/>
      <c r="AH269" s="39"/>
      <c r="AI269" s="39"/>
      <c r="AJ269" s="423"/>
      <c r="AK269" s="39"/>
      <c r="AL269" s="423"/>
      <c r="AM269" s="39"/>
      <c r="AN269" s="39"/>
      <c r="AO269" s="39"/>
      <c r="AP269" s="39"/>
    </row>
    <row r="270" spans="2:42">
      <c r="B270" s="39"/>
      <c r="C270" s="39"/>
      <c r="D270" s="39"/>
      <c r="E270" s="39"/>
      <c r="F270" s="39"/>
      <c r="G270" s="39"/>
      <c r="H270" s="39"/>
      <c r="I270" s="39"/>
      <c r="J270" s="39"/>
      <c r="K270" s="39"/>
      <c r="L270" s="100"/>
      <c r="N270" s="39"/>
      <c r="O270" s="39"/>
      <c r="P270" s="39"/>
      <c r="Q270" s="39"/>
      <c r="R270" s="39"/>
      <c r="S270" s="39"/>
      <c r="T270" s="39"/>
      <c r="U270" s="39"/>
      <c r="V270" s="39"/>
      <c r="W270" s="39"/>
      <c r="Y270" s="39"/>
      <c r="Z270" s="39"/>
      <c r="AA270" s="39"/>
      <c r="AB270" s="39"/>
      <c r="AC270" s="39"/>
      <c r="AD270" s="39"/>
      <c r="AE270" s="39"/>
      <c r="AF270" s="39"/>
      <c r="AG270" s="39"/>
      <c r="AH270" s="39"/>
      <c r="AI270" s="39"/>
      <c r="AJ270" s="423"/>
      <c r="AK270" s="39"/>
      <c r="AL270" s="423"/>
      <c r="AM270" s="39"/>
      <c r="AN270" s="39"/>
      <c r="AO270" s="39"/>
      <c r="AP270" s="39"/>
    </row>
    <row r="271" spans="2:42">
      <c r="B271" s="39"/>
      <c r="C271" s="39"/>
      <c r="D271" s="39"/>
      <c r="E271" s="39"/>
      <c r="F271" s="39"/>
      <c r="G271" s="39"/>
      <c r="H271" s="39"/>
      <c r="I271" s="39"/>
      <c r="J271" s="39"/>
      <c r="K271" s="39"/>
      <c r="L271" s="100"/>
      <c r="N271" s="39"/>
      <c r="O271" s="39"/>
      <c r="P271" s="39"/>
      <c r="Q271" s="39"/>
      <c r="R271" s="39"/>
      <c r="S271" s="39"/>
      <c r="T271" s="39"/>
      <c r="U271" s="39"/>
      <c r="V271" s="39"/>
      <c r="W271" s="39"/>
      <c r="Y271" s="39"/>
      <c r="Z271" s="39"/>
      <c r="AA271" s="39"/>
      <c r="AB271" s="39"/>
      <c r="AC271" s="39"/>
      <c r="AD271" s="39"/>
      <c r="AE271" s="39"/>
      <c r="AF271" s="39"/>
      <c r="AG271" s="39"/>
      <c r="AH271" s="39"/>
      <c r="AI271" s="39"/>
      <c r="AJ271" s="423"/>
      <c r="AK271" s="39"/>
      <c r="AL271" s="423"/>
      <c r="AM271" s="39"/>
      <c r="AN271" s="39"/>
      <c r="AO271" s="39"/>
      <c r="AP271" s="39"/>
    </row>
    <row r="272" spans="2:42">
      <c r="B272" s="39"/>
      <c r="C272" s="39"/>
      <c r="D272" s="39"/>
      <c r="E272" s="39"/>
      <c r="F272" s="39"/>
      <c r="G272" s="39"/>
      <c r="H272" s="39"/>
      <c r="I272" s="39"/>
      <c r="J272" s="39"/>
      <c r="K272" s="39"/>
      <c r="L272" s="100"/>
      <c r="N272" s="39"/>
      <c r="O272" s="39"/>
      <c r="P272" s="39"/>
      <c r="Q272" s="39"/>
      <c r="R272" s="39"/>
      <c r="S272" s="39"/>
      <c r="T272" s="39"/>
      <c r="U272" s="39"/>
      <c r="V272" s="39"/>
      <c r="W272" s="39"/>
      <c r="Y272" s="39"/>
      <c r="Z272" s="39"/>
      <c r="AA272" s="39"/>
      <c r="AB272" s="39"/>
      <c r="AC272" s="39"/>
      <c r="AD272" s="39"/>
      <c r="AE272" s="39"/>
      <c r="AF272" s="39"/>
      <c r="AG272" s="39"/>
      <c r="AH272" s="39"/>
      <c r="AI272" s="39"/>
      <c r="AJ272" s="423"/>
      <c r="AK272" s="39"/>
      <c r="AL272" s="423"/>
      <c r="AM272" s="39"/>
      <c r="AN272" s="39"/>
      <c r="AO272" s="39"/>
      <c r="AP272" s="39"/>
    </row>
    <row r="273" spans="2:42">
      <c r="B273" s="39"/>
      <c r="C273" s="39"/>
      <c r="D273" s="39"/>
      <c r="E273" s="39"/>
      <c r="F273" s="39"/>
      <c r="G273" s="39"/>
      <c r="H273" s="39"/>
      <c r="I273" s="39"/>
      <c r="J273" s="39"/>
      <c r="K273" s="39"/>
      <c r="L273" s="100"/>
      <c r="N273" s="39"/>
      <c r="O273" s="39"/>
      <c r="P273" s="39"/>
      <c r="Q273" s="39"/>
      <c r="R273" s="39"/>
      <c r="S273" s="39"/>
      <c r="T273" s="39"/>
      <c r="U273" s="39"/>
      <c r="V273" s="39"/>
      <c r="W273" s="39"/>
      <c r="Y273" s="39"/>
      <c r="Z273" s="39"/>
      <c r="AA273" s="39"/>
      <c r="AB273" s="39"/>
      <c r="AC273" s="39"/>
      <c r="AD273" s="39"/>
      <c r="AE273" s="39"/>
      <c r="AF273" s="39"/>
      <c r="AG273" s="39"/>
      <c r="AH273" s="39"/>
      <c r="AI273" s="39"/>
      <c r="AJ273" s="423"/>
      <c r="AK273" s="39"/>
      <c r="AL273" s="423"/>
      <c r="AM273" s="39"/>
      <c r="AN273" s="39"/>
      <c r="AO273" s="39"/>
      <c r="AP273" s="39"/>
    </row>
    <row r="274" spans="2:42">
      <c r="B274" s="39"/>
      <c r="C274" s="39"/>
      <c r="D274" s="39"/>
      <c r="E274" s="39"/>
      <c r="F274" s="39"/>
      <c r="G274" s="39"/>
      <c r="H274" s="39"/>
      <c r="I274" s="39"/>
      <c r="J274" s="39"/>
      <c r="K274" s="39"/>
      <c r="L274" s="100"/>
      <c r="N274" s="39"/>
      <c r="O274" s="39"/>
      <c r="P274" s="39"/>
      <c r="Q274" s="39"/>
      <c r="R274" s="39"/>
      <c r="S274" s="39"/>
      <c r="T274" s="39"/>
      <c r="U274" s="39"/>
      <c r="V274" s="39"/>
      <c r="W274" s="39"/>
      <c r="Y274" s="39"/>
      <c r="Z274" s="39"/>
      <c r="AA274" s="39"/>
      <c r="AB274" s="39"/>
      <c r="AC274" s="39"/>
      <c r="AD274" s="39"/>
      <c r="AE274" s="39"/>
      <c r="AF274" s="39"/>
      <c r="AG274" s="39"/>
      <c r="AH274" s="39"/>
      <c r="AI274" s="39"/>
      <c r="AJ274" s="423"/>
      <c r="AK274" s="39"/>
      <c r="AL274" s="423"/>
      <c r="AM274" s="39"/>
      <c r="AN274" s="39"/>
      <c r="AO274" s="39"/>
      <c r="AP274" s="39"/>
    </row>
    <row r="275" spans="2:42">
      <c r="B275" s="39"/>
      <c r="C275" s="39"/>
      <c r="D275" s="39"/>
      <c r="E275" s="39"/>
      <c r="F275" s="39"/>
      <c r="G275" s="39"/>
      <c r="H275" s="39"/>
      <c r="I275" s="39"/>
      <c r="J275" s="39"/>
      <c r="K275" s="39"/>
      <c r="L275" s="100"/>
      <c r="N275" s="39"/>
      <c r="O275" s="39"/>
      <c r="P275" s="39"/>
      <c r="Q275" s="39"/>
      <c r="R275" s="39"/>
      <c r="S275" s="39"/>
      <c r="T275" s="39"/>
      <c r="U275" s="39"/>
      <c r="V275" s="39"/>
      <c r="W275" s="39"/>
      <c r="Y275" s="39"/>
      <c r="Z275" s="39"/>
      <c r="AA275" s="39"/>
      <c r="AB275" s="39"/>
      <c r="AC275" s="39"/>
      <c r="AD275" s="39"/>
      <c r="AE275" s="39"/>
      <c r="AF275" s="39"/>
      <c r="AG275" s="39"/>
      <c r="AH275" s="39"/>
      <c r="AI275" s="39"/>
      <c r="AJ275" s="423"/>
      <c r="AK275" s="39"/>
      <c r="AL275" s="423"/>
      <c r="AM275" s="39"/>
      <c r="AN275" s="39"/>
      <c r="AO275" s="39"/>
      <c r="AP275" s="39"/>
    </row>
    <row r="276" spans="2:42">
      <c r="B276" s="39"/>
      <c r="C276" s="39"/>
      <c r="D276" s="39"/>
      <c r="E276" s="39"/>
      <c r="F276" s="39"/>
      <c r="G276" s="39"/>
      <c r="H276" s="39"/>
      <c r="I276" s="39"/>
      <c r="J276" s="39"/>
      <c r="K276" s="39"/>
      <c r="L276" s="100"/>
      <c r="N276" s="39"/>
      <c r="O276" s="39"/>
      <c r="P276" s="39"/>
      <c r="Q276" s="39"/>
      <c r="R276" s="39"/>
      <c r="S276" s="39"/>
      <c r="T276" s="39"/>
      <c r="U276" s="39"/>
      <c r="V276" s="39"/>
      <c r="W276" s="39"/>
      <c r="Y276" s="39"/>
      <c r="Z276" s="39"/>
      <c r="AA276" s="39"/>
      <c r="AB276" s="39"/>
      <c r="AC276" s="39"/>
      <c r="AD276" s="39"/>
      <c r="AE276" s="39"/>
      <c r="AF276" s="39"/>
      <c r="AG276" s="39"/>
      <c r="AH276" s="39"/>
      <c r="AI276" s="39"/>
      <c r="AJ276" s="423"/>
      <c r="AK276" s="39"/>
      <c r="AL276" s="423"/>
      <c r="AM276" s="39"/>
      <c r="AN276" s="39"/>
      <c r="AO276" s="39"/>
      <c r="AP276" s="39"/>
    </row>
    <row r="277" spans="2:42">
      <c r="B277" s="39"/>
      <c r="C277" s="39"/>
      <c r="D277" s="39"/>
      <c r="E277" s="39"/>
      <c r="F277" s="39"/>
      <c r="G277" s="39"/>
      <c r="H277" s="39"/>
      <c r="I277" s="39"/>
      <c r="J277" s="39"/>
      <c r="K277" s="39"/>
      <c r="L277" s="100"/>
      <c r="N277" s="39"/>
      <c r="O277" s="39"/>
      <c r="P277" s="39"/>
      <c r="Q277" s="39"/>
      <c r="R277" s="39"/>
      <c r="S277" s="39"/>
      <c r="T277" s="39"/>
      <c r="U277" s="39"/>
      <c r="V277" s="39"/>
      <c r="W277" s="39"/>
      <c r="Y277" s="39"/>
      <c r="Z277" s="39"/>
      <c r="AA277" s="39"/>
      <c r="AB277" s="39"/>
      <c r="AC277" s="39"/>
      <c r="AD277" s="39"/>
      <c r="AE277" s="39"/>
      <c r="AF277" s="39"/>
      <c r="AG277" s="39"/>
      <c r="AH277" s="39"/>
      <c r="AI277" s="39"/>
      <c r="AJ277" s="423"/>
      <c r="AK277" s="39"/>
      <c r="AL277" s="423"/>
      <c r="AM277" s="39"/>
      <c r="AN277" s="39"/>
      <c r="AO277" s="39"/>
      <c r="AP277" s="39"/>
    </row>
    <row r="278" spans="2:42">
      <c r="B278" s="39"/>
      <c r="C278" s="39"/>
      <c r="D278" s="39"/>
      <c r="E278" s="39"/>
      <c r="F278" s="39"/>
      <c r="G278" s="39"/>
      <c r="H278" s="39"/>
      <c r="I278" s="39"/>
      <c r="J278" s="39"/>
      <c r="K278" s="39"/>
      <c r="L278" s="100"/>
      <c r="N278" s="39"/>
      <c r="O278" s="39"/>
      <c r="P278" s="39"/>
      <c r="Q278" s="39"/>
      <c r="R278" s="39"/>
      <c r="S278" s="39"/>
      <c r="T278" s="39"/>
      <c r="U278" s="39"/>
      <c r="V278" s="39"/>
      <c r="W278" s="39"/>
      <c r="Y278" s="39"/>
      <c r="Z278" s="39"/>
      <c r="AA278" s="39"/>
      <c r="AB278" s="39"/>
      <c r="AC278" s="39"/>
      <c r="AD278" s="39"/>
      <c r="AE278" s="39"/>
      <c r="AF278" s="39"/>
      <c r="AG278" s="39"/>
      <c r="AH278" s="39"/>
      <c r="AI278" s="39"/>
      <c r="AJ278" s="423"/>
      <c r="AK278" s="39"/>
      <c r="AL278" s="423"/>
      <c r="AM278" s="39"/>
      <c r="AN278" s="39"/>
      <c r="AO278" s="39"/>
      <c r="AP278" s="39"/>
    </row>
    <row r="279" spans="2:42">
      <c r="B279" s="39"/>
      <c r="C279" s="39"/>
      <c r="D279" s="39"/>
      <c r="E279" s="39"/>
      <c r="F279" s="39"/>
      <c r="G279" s="39"/>
      <c r="H279" s="39"/>
      <c r="I279" s="39"/>
      <c r="J279" s="39"/>
      <c r="K279" s="39"/>
      <c r="L279" s="100"/>
      <c r="N279" s="39"/>
      <c r="O279" s="39"/>
      <c r="P279" s="39"/>
      <c r="Q279" s="39"/>
      <c r="R279" s="39"/>
      <c r="S279" s="39"/>
      <c r="T279" s="39"/>
      <c r="U279" s="39"/>
      <c r="V279" s="39"/>
      <c r="W279" s="39"/>
      <c r="Y279" s="39"/>
      <c r="Z279" s="39"/>
      <c r="AA279" s="39"/>
      <c r="AB279" s="39"/>
      <c r="AC279" s="39"/>
      <c r="AD279" s="39"/>
      <c r="AE279" s="39"/>
      <c r="AF279" s="39"/>
      <c r="AG279" s="39"/>
      <c r="AH279" s="39"/>
      <c r="AI279" s="39"/>
      <c r="AJ279" s="423"/>
      <c r="AK279" s="39"/>
      <c r="AL279" s="423"/>
      <c r="AM279" s="39"/>
      <c r="AN279" s="39"/>
      <c r="AO279" s="39"/>
      <c r="AP279" s="39"/>
    </row>
    <row r="280" spans="2:42">
      <c r="B280" s="39"/>
      <c r="C280" s="39"/>
      <c r="D280" s="39"/>
      <c r="E280" s="39"/>
      <c r="F280" s="39"/>
      <c r="G280" s="39"/>
      <c r="H280" s="39"/>
      <c r="I280" s="39"/>
      <c r="J280" s="39"/>
      <c r="K280" s="39"/>
      <c r="L280" s="100"/>
      <c r="N280" s="39"/>
      <c r="O280" s="39"/>
      <c r="P280" s="39"/>
      <c r="Q280" s="39"/>
      <c r="R280" s="39"/>
      <c r="S280" s="39"/>
      <c r="T280" s="39"/>
      <c r="U280" s="39"/>
      <c r="V280" s="39"/>
      <c r="W280" s="39"/>
      <c r="Y280" s="39"/>
      <c r="Z280" s="39"/>
      <c r="AA280" s="39"/>
      <c r="AB280" s="39"/>
      <c r="AC280" s="39"/>
      <c r="AD280" s="39"/>
      <c r="AE280" s="39"/>
      <c r="AF280" s="39"/>
      <c r="AG280" s="39"/>
      <c r="AH280" s="39"/>
      <c r="AI280" s="39"/>
      <c r="AJ280" s="423"/>
      <c r="AK280" s="39"/>
      <c r="AL280" s="423"/>
      <c r="AM280" s="39"/>
      <c r="AN280" s="39"/>
      <c r="AO280" s="39"/>
      <c r="AP280" s="39"/>
    </row>
    <row r="281" spans="2:42">
      <c r="B281" s="39"/>
      <c r="C281" s="39"/>
      <c r="D281" s="39"/>
      <c r="E281" s="39"/>
      <c r="F281" s="39"/>
      <c r="G281" s="39"/>
      <c r="H281" s="39"/>
      <c r="I281" s="39"/>
      <c r="J281" s="39"/>
      <c r="K281" s="39"/>
      <c r="L281" s="100"/>
      <c r="N281" s="39"/>
      <c r="O281" s="39"/>
      <c r="P281" s="39"/>
      <c r="Q281" s="39"/>
      <c r="R281" s="39"/>
      <c r="S281" s="39"/>
      <c r="T281" s="39"/>
      <c r="U281" s="39"/>
      <c r="V281" s="39"/>
      <c r="W281" s="39"/>
      <c r="Y281" s="39"/>
      <c r="Z281" s="39"/>
      <c r="AA281" s="39"/>
      <c r="AB281" s="39"/>
      <c r="AC281" s="39"/>
      <c r="AD281" s="39"/>
      <c r="AE281" s="39"/>
      <c r="AF281" s="39"/>
      <c r="AG281" s="39"/>
      <c r="AH281" s="39"/>
      <c r="AI281" s="39"/>
      <c r="AJ281" s="423"/>
      <c r="AK281" s="39"/>
      <c r="AL281" s="423"/>
      <c r="AM281" s="39"/>
      <c r="AN281" s="39"/>
      <c r="AO281" s="39"/>
      <c r="AP281" s="39"/>
    </row>
    <row r="282" spans="2:42">
      <c r="B282" s="39"/>
      <c r="C282" s="39"/>
      <c r="D282" s="39"/>
      <c r="E282" s="39"/>
      <c r="F282" s="39"/>
      <c r="G282" s="39"/>
      <c r="H282" s="39"/>
      <c r="I282" s="39"/>
      <c r="J282" s="39"/>
      <c r="K282" s="39"/>
      <c r="L282" s="100"/>
      <c r="N282" s="39"/>
      <c r="O282" s="39"/>
      <c r="P282" s="39"/>
      <c r="Q282" s="39"/>
      <c r="R282" s="39"/>
      <c r="S282" s="39"/>
      <c r="T282" s="39"/>
      <c r="U282" s="39"/>
      <c r="V282" s="39"/>
      <c r="W282" s="39"/>
      <c r="Y282" s="39"/>
      <c r="Z282" s="39"/>
      <c r="AA282" s="39"/>
      <c r="AB282" s="39"/>
      <c r="AC282" s="39"/>
      <c r="AD282" s="39"/>
      <c r="AE282" s="39"/>
      <c r="AF282" s="39"/>
      <c r="AG282" s="39"/>
      <c r="AH282" s="39"/>
      <c r="AI282" s="39"/>
      <c r="AJ282" s="423"/>
      <c r="AK282" s="39"/>
      <c r="AL282" s="423"/>
      <c r="AM282" s="39"/>
      <c r="AN282" s="39"/>
      <c r="AO282" s="39"/>
      <c r="AP282" s="39"/>
    </row>
    <row r="283" spans="2:42">
      <c r="B283" s="39"/>
      <c r="C283" s="39"/>
      <c r="D283" s="39"/>
      <c r="E283" s="39"/>
      <c r="F283" s="39"/>
      <c r="G283" s="39"/>
      <c r="H283" s="39"/>
      <c r="I283" s="39"/>
      <c r="J283" s="39"/>
      <c r="K283" s="39"/>
      <c r="L283" s="100"/>
      <c r="N283" s="39"/>
      <c r="O283" s="39"/>
      <c r="P283" s="39"/>
      <c r="Q283" s="39"/>
      <c r="R283" s="39"/>
      <c r="S283" s="39"/>
      <c r="T283" s="39"/>
      <c r="U283" s="39"/>
      <c r="V283" s="39"/>
      <c r="W283" s="39"/>
      <c r="Y283" s="39"/>
      <c r="Z283" s="39"/>
      <c r="AA283" s="39"/>
      <c r="AB283" s="39"/>
      <c r="AC283" s="39"/>
      <c r="AD283" s="39"/>
      <c r="AE283" s="39"/>
      <c r="AF283" s="39"/>
      <c r="AG283" s="39"/>
      <c r="AH283" s="39"/>
      <c r="AI283" s="39"/>
      <c r="AJ283" s="423"/>
      <c r="AK283" s="39"/>
      <c r="AL283" s="423"/>
      <c r="AM283" s="39"/>
      <c r="AN283" s="39"/>
      <c r="AO283" s="39"/>
      <c r="AP283" s="39"/>
    </row>
    <row r="284" spans="2:42">
      <c r="B284" s="39"/>
      <c r="C284" s="39"/>
      <c r="D284" s="39"/>
      <c r="E284" s="39"/>
      <c r="F284" s="39"/>
      <c r="G284" s="39"/>
      <c r="H284" s="39"/>
      <c r="I284" s="39"/>
      <c r="J284" s="39"/>
      <c r="K284" s="39"/>
      <c r="L284" s="100"/>
      <c r="N284" s="39"/>
      <c r="O284" s="39"/>
      <c r="P284" s="39"/>
      <c r="Q284" s="39"/>
      <c r="R284" s="39"/>
      <c r="S284" s="39"/>
      <c r="T284" s="39"/>
      <c r="U284" s="39"/>
      <c r="V284" s="39"/>
      <c r="W284" s="39"/>
      <c r="Y284" s="39"/>
      <c r="Z284" s="39"/>
      <c r="AA284" s="39"/>
      <c r="AB284" s="39"/>
      <c r="AC284" s="39"/>
      <c r="AD284" s="39"/>
      <c r="AE284" s="39"/>
      <c r="AF284" s="39"/>
      <c r="AG284" s="39"/>
      <c r="AH284" s="39"/>
      <c r="AI284" s="39"/>
      <c r="AJ284" s="423"/>
      <c r="AK284" s="39"/>
      <c r="AL284" s="423"/>
      <c r="AM284" s="39"/>
      <c r="AN284" s="39"/>
      <c r="AO284" s="39"/>
      <c r="AP284" s="39"/>
    </row>
    <row r="285" spans="2:42">
      <c r="B285" s="39"/>
      <c r="C285" s="39"/>
      <c r="D285" s="39"/>
      <c r="E285" s="39"/>
      <c r="F285" s="39"/>
      <c r="G285" s="39"/>
      <c r="H285" s="39"/>
      <c r="I285" s="39"/>
      <c r="J285" s="39"/>
      <c r="K285" s="39"/>
      <c r="L285" s="100"/>
      <c r="N285" s="39"/>
      <c r="O285" s="39"/>
      <c r="P285" s="39"/>
      <c r="Q285" s="39"/>
      <c r="R285" s="39"/>
      <c r="S285" s="39"/>
      <c r="T285" s="39"/>
      <c r="U285" s="39"/>
      <c r="V285" s="39"/>
      <c r="W285" s="39"/>
      <c r="Y285" s="39"/>
      <c r="Z285" s="39"/>
      <c r="AA285" s="39"/>
      <c r="AB285" s="39"/>
      <c r="AC285" s="39"/>
      <c r="AD285" s="39"/>
      <c r="AE285" s="39"/>
      <c r="AF285" s="39"/>
      <c r="AG285" s="39"/>
      <c r="AH285" s="39"/>
      <c r="AI285" s="39"/>
      <c r="AJ285" s="423"/>
      <c r="AK285" s="39"/>
      <c r="AL285" s="423"/>
      <c r="AM285" s="39"/>
      <c r="AN285" s="39"/>
      <c r="AO285" s="39"/>
      <c r="AP285" s="39"/>
    </row>
    <row r="286" spans="2:42">
      <c r="B286" s="39"/>
      <c r="C286" s="39"/>
      <c r="D286" s="39"/>
      <c r="E286" s="39"/>
      <c r="F286" s="39"/>
      <c r="G286" s="39"/>
      <c r="H286" s="39"/>
      <c r="I286" s="39"/>
      <c r="J286" s="39"/>
      <c r="K286" s="39"/>
      <c r="L286" s="100"/>
      <c r="N286" s="39"/>
      <c r="O286" s="39"/>
      <c r="P286" s="39"/>
      <c r="Q286" s="39"/>
      <c r="R286" s="39"/>
      <c r="S286" s="39"/>
      <c r="T286" s="39"/>
      <c r="U286" s="39"/>
      <c r="V286" s="39"/>
      <c r="W286" s="39"/>
      <c r="Y286" s="39"/>
      <c r="Z286" s="39"/>
      <c r="AA286" s="39"/>
      <c r="AB286" s="39"/>
      <c r="AC286" s="39"/>
      <c r="AD286" s="39"/>
      <c r="AE286" s="39"/>
      <c r="AF286" s="39"/>
      <c r="AG286" s="39"/>
      <c r="AH286" s="39"/>
      <c r="AI286" s="39"/>
      <c r="AJ286" s="423"/>
      <c r="AK286" s="39"/>
      <c r="AL286" s="423"/>
      <c r="AM286" s="39"/>
      <c r="AN286" s="39"/>
      <c r="AO286" s="39"/>
      <c r="AP286" s="39"/>
    </row>
    <row r="287" spans="2:42">
      <c r="B287" s="39"/>
      <c r="C287" s="39"/>
      <c r="D287" s="39"/>
      <c r="E287" s="39"/>
      <c r="F287" s="39"/>
      <c r="G287" s="39"/>
      <c r="H287" s="39"/>
      <c r="I287" s="39"/>
      <c r="J287" s="39"/>
      <c r="K287" s="39"/>
      <c r="L287" s="100"/>
      <c r="N287" s="39"/>
      <c r="O287" s="39"/>
      <c r="P287" s="39"/>
      <c r="Q287" s="39"/>
      <c r="R287" s="39"/>
      <c r="S287" s="39"/>
      <c r="T287" s="39"/>
      <c r="U287" s="39"/>
      <c r="V287" s="39"/>
      <c r="W287" s="39"/>
      <c r="Y287" s="39"/>
      <c r="Z287" s="39"/>
      <c r="AA287" s="39"/>
      <c r="AB287" s="39"/>
      <c r="AC287" s="39"/>
      <c r="AD287" s="39"/>
      <c r="AE287" s="39"/>
      <c r="AF287" s="39"/>
      <c r="AG287" s="39"/>
      <c r="AH287" s="39"/>
      <c r="AI287" s="39"/>
      <c r="AJ287" s="423"/>
      <c r="AK287" s="39"/>
      <c r="AL287" s="423"/>
      <c r="AM287" s="39"/>
      <c r="AN287" s="39"/>
      <c r="AO287" s="39"/>
      <c r="AP287" s="39"/>
    </row>
    <row r="288" spans="2:42">
      <c r="B288" s="39"/>
      <c r="C288" s="39"/>
      <c r="D288" s="39"/>
      <c r="E288" s="39"/>
      <c r="F288" s="39"/>
      <c r="G288" s="39"/>
      <c r="H288" s="39"/>
      <c r="I288" s="39"/>
      <c r="J288" s="39"/>
      <c r="K288" s="39"/>
      <c r="L288" s="100"/>
      <c r="N288" s="39"/>
      <c r="O288" s="39"/>
      <c r="P288" s="39"/>
      <c r="Q288" s="39"/>
      <c r="R288" s="39"/>
      <c r="S288" s="39"/>
      <c r="T288" s="39"/>
      <c r="U288" s="39"/>
      <c r="V288" s="39"/>
      <c r="W288" s="39"/>
      <c r="Y288" s="39"/>
      <c r="Z288" s="39"/>
      <c r="AA288" s="39"/>
      <c r="AB288" s="39"/>
      <c r="AC288" s="39"/>
      <c r="AD288" s="39"/>
      <c r="AE288" s="39"/>
      <c r="AF288" s="39"/>
      <c r="AG288" s="39"/>
      <c r="AH288" s="39"/>
      <c r="AI288" s="39"/>
      <c r="AJ288" s="423"/>
      <c r="AK288" s="39"/>
      <c r="AL288" s="423"/>
      <c r="AM288" s="39"/>
      <c r="AN288" s="39"/>
      <c r="AO288" s="39"/>
      <c r="AP288" s="39"/>
    </row>
    <row r="289" spans="2:42">
      <c r="B289" s="39"/>
      <c r="C289" s="39"/>
      <c r="D289" s="39"/>
      <c r="E289" s="39"/>
      <c r="F289" s="39"/>
      <c r="G289" s="39"/>
      <c r="H289" s="39"/>
      <c r="I289" s="39"/>
      <c r="J289" s="39"/>
      <c r="K289" s="39"/>
      <c r="L289" s="100"/>
      <c r="N289" s="39"/>
      <c r="O289" s="39"/>
      <c r="P289" s="39"/>
      <c r="Q289" s="39"/>
      <c r="R289" s="39"/>
      <c r="S289" s="39"/>
      <c r="T289" s="39"/>
      <c r="U289" s="39"/>
      <c r="V289" s="39"/>
      <c r="W289" s="39"/>
      <c r="Y289" s="39"/>
      <c r="Z289" s="39"/>
      <c r="AA289" s="39"/>
      <c r="AB289" s="39"/>
      <c r="AC289" s="39"/>
      <c r="AD289" s="39"/>
      <c r="AE289" s="39"/>
      <c r="AF289" s="39"/>
      <c r="AG289" s="39"/>
      <c r="AH289" s="39"/>
      <c r="AI289" s="39"/>
      <c r="AJ289" s="423"/>
      <c r="AK289" s="39"/>
      <c r="AL289" s="423"/>
      <c r="AM289" s="39"/>
      <c r="AN289" s="39"/>
      <c r="AO289" s="39"/>
      <c r="AP289" s="39"/>
    </row>
    <row r="290" spans="2:42">
      <c r="B290" s="39"/>
      <c r="C290" s="39"/>
      <c r="D290" s="39"/>
      <c r="E290" s="39"/>
      <c r="F290" s="39"/>
      <c r="G290" s="39"/>
      <c r="H290" s="39"/>
      <c r="I290" s="39"/>
      <c r="J290" s="39"/>
      <c r="K290" s="39"/>
      <c r="L290" s="100"/>
      <c r="N290" s="39"/>
      <c r="O290" s="39"/>
      <c r="P290" s="39"/>
      <c r="Q290" s="39"/>
      <c r="R290" s="39"/>
      <c r="S290" s="39"/>
      <c r="T290" s="39"/>
      <c r="U290" s="39"/>
      <c r="V290" s="39"/>
      <c r="W290" s="39"/>
      <c r="Y290" s="39"/>
      <c r="Z290" s="39"/>
      <c r="AA290" s="39"/>
      <c r="AB290" s="39"/>
      <c r="AC290" s="39"/>
      <c r="AD290" s="39"/>
      <c r="AE290" s="39"/>
      <c r="AF290" s="39"/>
      <c r="AG290" s="39"/>
      <c r="AH290" s="39"/>
      <c r="AI290" s="39"/>
      <c r="AJ290" s="423"/>
      <c r="AK290" s="39"/>
      <c r="AL290" s="423"/>
      <c r="AM290" s="39"/>
      <c r="AN290" s="39"/>
      <c r="AO290" s="39"/>
      <c r="AP290" s="39"/>
    </row>
    <row r="291" spans="2:42">
      <c r="B291" s="39"/>
      <c r="C291" s="39"/>
      <c r="D291" s="39"/>
      <c r="E291" s="39"/>
      <c r="F291" s="39"/>
      <c r="G291" s="39"/>
      <c r="H291" s="39"/>
      <c r="I291" s="39"/>
      <c r="J291" s="39"/>
      <c r="K291" s="39"/>
      <c r="L291" s="100"/>
      <c r="N291" s="39"/>
      <c r="O291" s="39"/>
      <c r="P291" s="39"/>
      <c r="Q291" s="39"/>
      <c r="R291" s="39"/>
      <c r="S291" s="39"/>
      <c r="T291" s="39"/>
      <c r="U291" s="39"/>
      <c r="V291" s="39"/>
      <c r="W291" s="39"/>
      <c r="Y291" s="39"/>
      <c r="Z291" s="39"/>
      <c r="AA291" s="39"/>
      <c r="AB291" s="39"/>
      <c r="AC291" s="39"/>
      <c r="AD291" s="39"/>
      <c r="AE291" s="39"/>
      <c r="AF291" s="39"/>
      <c r="AG291" s="39"/>
      <c r="AH291" s="39"/>
      <c r="AI291" s="39"/>
      <c r="AJ291" s="423"/>
      <c r="AK291" s="39"/>
      <c r="AL291" s="423"/>
      <c r="AM291" s="39"/>
      <c r="AN291" s="39"/>
      <c r="AO291" s="39"/>
      <c r="AP291" s="39"/>
    </row>
    <row r="292" spans="2:42">
      <c r="B292" s="39"/>
      <c r="C292" s="39"/>
      <c r="D292" s="39"/>
      <c r="E292" s="39"/>
      <c r="F292" s="39"/>
      <c r="G292" s="39"/>
      <c r="H292" s="39"/>
      <c r="I292" s="39"/>
      <c r="J292" s="39"/>
      <c r="K292" s="39"/>
      <c r="L292" s="100"/>
      <c r="N292" s="39"/>
      <c r="O292" s="39"/>
      <c r="P292" s="39"/>
      <c r="Q292" s="39"/>
      <c r="R292" s="39"/>
      <c r="S292" s="39"/>
      <c r="T292" s="39"/>
      <c r="U292" s="39"/>
      <c r="V292" s="39"/>
      <c r="W292" s="39"/>
      <c r="Y292" s="39"/>
      <c r="Z292" s="39"/>
      <c r="AA292" s="39"/>
      <c r="AB292" s="39"/>
      <c r="AC292" s="39"/>
      <c r="AD292" s="39"/>
      <c r="AE292" s="39"/>
      <c r="AF292" s="39"/>
      <c r="AG292" s="39"/>
      <c r="AH292" s="39"/>
      <c r="AI292" s="39"/>
      <c r="AJ292" s="423"/>
      <c r="AK292" s="39"/>
      <c r="AL292" s="423"/>
      <c r="AM292" s="39"/>
      <c r="AN292" s="39"/>
      <c r="AO292" s="39"/>
      <c r="AP292" s="39"/>
    </row>
    <row r="293" spans="2:42">
      <c r="B293" s="39"/>
      <c r="C293" s="39"/>
      <c r="D293" s="39"/>
      <c r="E293" s="39"/>
      <c r="F293" s="39"/>
      <c r="G293" s="39"/>
      <c r="H293" s="39"/>
      <c r="I293" s="39"/>
      <c r="J293" s="39"/>
      <c r="K293" s="39"/>
      <c r="L293" s="100"/>
      <c r="N293" s="39"/>
      <c r="O293" s="39"/>
      <c r="P293" s="39"/>
      <c r="Q293" s="39"/>
      <c r="R293" s="39"/>
      <c r="S293" s="39"/>
      <c r="T293" s="39"/>
      <c r="U293" s="39"/>
      <c r="V293" s="39"/>
      <c r="W293" s="39"/>
      <c r="Y293" s="39"/>
      <c r="Z293" s="39"/>
      <c r="AA293" s="39"/>
      <c r="AB293" s="39"/>
      <c r="AC293" s="39"/>
      <c r="AD293" s="39"/>
      <c r="AE293" s="39"/>
      <c r="AF293" s="39"/>
      <c r="AG293" s="39"/>
      <c r="AH293" s="39"/>
      <c r="AI293" s="39"/>
      <c r="AJ293" s="423"/>
      <c r="AK293" s="39"/>
      <c r="AL293" s="423"/>
      <c r="AM293" s="39"/>
      <c r="AN293" s="39"/>
      <c r="AO293" s="39"/>
      <c r="AP293" s="39"/>
    </row>
    <row r="294" spans="2:42">
      <c r="B294" s="39"/>
      <c r="C294" s="39"/>
      <c r="D294" s="39"/>
      <c r="E294" s="39"/>
      <c r="F294" s="39"/>
      <c r="G294" s="39"/>
      <c r="H294" s="39"/>
      <c r="I294" s="39"/>
      <c r="J294" s="39"/>
      <c r="K294" s="39"/>
      <c r="L294" s="100"/>
      <c r="N294" s="39"/>
      <c r="O294" s="39"/>
      <c r="P294" s="39"/>
      <c r="Q294" s="39"/>
      <c r="R294" s="39"/>
      <c r="S294" s="39"/>
      <c r="T294" s="39"/>
      <c r="U294" s="39"/>
      <c r="V294" s="39"/>
      <c r="W294" s="39"/>
      <c r="Y294" s="39"/>
      <c r="Z294" s="39"/>
      <c r="AA294" s="39"/>
      <c r="AB294" s="39"/>
      <c r="AC294" s="39"/>
      <c r="AD294" s="39"/>
      <c r="AE294" s="39"/>
      <c r="AF294" s="39"/>
      <c r="AG294" s="39"/>
      <c r="AH294" s="39"/>
      <c r="AI294" s="39"/>
      <c r="AJ294" s="423"/>
      <c r="AK294" s="39"/>
      <c r="AL294" s="423"/>
      <c r="AM294" s="39"/>
      <c r="AN294" s="39"/>
      <c r="AO294" s="39"/>
      <c r="AP294" s="39"/>
    </row>
    <row r="295" spans="2:42">
      <c r="B295" s="39"/>
      <c r="C295" s="39"/>
      <c r="D295" s="39"/>
      <c r="E295" s="39"/>
      <c r="F295" s="39"/>
      <c r="G295" s="39"/>
      <c r="H295" s="39"/>
      <c r="I295" s="39"/>
      <c r="J295" s="39"/>
      <c r="K295" s="39"/>
      <c r="L295" s="100"/>
      <c r="N295" s="39"/>
      <c r="O295" s="39"/>
      <c r="P295" s="39"/>
      <c r="Q295" s="39"/>
      <c r="R295" s="39"/>
      <c r="S295" s="39"/>
      <c r="T295" s="39"/>
      <c r="U295" s="39"/>
      <c r="V295" s="39"/>
      <c r="W295" s="39"/>
      <c r="Y295" s="39"/>
      <c r="Z295" s="39"/>
      <c r="AA295" s="39"/>
      <c r="AB295" s="39"/>
      <c r="AC295" s="39"/>
      <c r="AD295" s="39"/>
      <c r="AE295" s="39"/>
      <c r="AF295" s="39"/>
      <c r="AG295" s="39"/>
      <c r="AH295" s="39"/>
      <c r="AI295" s="39"/>
      <c r="AJ295" s="423"/>
      <c r="AK295" s="39"/>
      <c r="AL295" s="423"/>
      <c r="AM295" s="39"/>
      <c r="AN295" s="39"/>
      <c r="AO295" s="39"/>
      <c r="AP295" s="39"/>
    </row>
    <row r="296" spans="2:42">
      <c r="B296" s="39"/>
      <c r="C296" s="39"/>
      <c r="D296" s="39"/>
      <c r="E296" s="39"/>
      <c r="F296" s="39"/>
      <c r="G296" s="39"/>
      <c r="H296" s="39"/>
      <c r="I296" s="39"/>
      <c r="J296" s="39"/>
      <c r="K296" s="39"/>
      <c r="L296" s="100"/>
      <c r="N296" s="39"/>
      <c r="O296" s="39"/>
      <c r="P296" s="39"/>
      <c r="Q296" s="39"/>
      <c r="R296" s="39"/>
      <c r="S296" s="39"/>
      <c r="T296" s="39"/>
      <c r="U296" s="39"/>
      <c r="V296" s="39"/>
      <c r="W296" s="39"/>
      <c r="Y296" s="39"/>
      <c r="Z296" s="39"/>
      <c r="AA296" s="39"/>
      <c r="AB296" s="39"/>
      <c r="AC296" s="39"/>
      <c r="AD296" s="39"/>
      <c r="AE296" s="39"/>
      <c r="AF296" s="39"/>
      <c r="AG296" s="39"/>
      <c r="AH296" s="39"/>
      <c r="AI296" s="39"/>
      <c r="AJ296" s="423"/>
      <c r="AK296" s="39"/>
      <c r="AL296" s="423"/>
      <c r="AM296" s="39"/>
      <c r="AN296" s="39"/>
      <c r="AO296" s="39"/>
      <c r="AP296" s="39"/>
    </row>
    <row r="297" spans="2:42">
      <c r="B297" s="39"/>
      <c r="C297" s="39"/>
      <c r="D297" s="39"/>
      <c r="E297" s="39"/>
      <c r="F297" s="39"/>
      <c r="G297" s="39"/>
      <c r="H297" s="39"/>
      <c r="I297" s="39"/>
      <c r="J297" s="39"/>
      <c r="K297" s="39"/>
      <c r="L297" s="100"/>
      <c r="N297" s="39"/>
      <c r="O297" s="39"/>
      <c r="P297" s="39"/>
      <c r="Q297" s="39"/>
      <c r="R297" s="39"/>
      <c r="S297" s="39"/>
      <c r="T297" s="39"/>
      <c r="U297" s="39"/>
      <c r="V297" s="39"/>
      <c r="W297" s="39"/>
      <c r="Y297" s="39"/>
      <c r="Z297" s="39"/>
      <c r="AA297" s="39"/>
      <c r="AB297" s="39"/>
      <c r="AC297" s="39"/>
      <c r="AD297" s="39"/>
      <c r="AE297" s="39"/>
      <c r="AF297" s="39"/>
      <c r="AG297" s="39"/>
      <c r="AH297" s="39"/>
      <c r="AI297" s="39"/>
      <c r="AJ297" s="423"/>
      <c r="AK297" s="39"/>
      <c r="AL297" s="423"/>
      <c r="AM297" s="39"/>
      <c r="AN297" s="39"/>
      <c r="AO297" s="39"/>
      <c r="AP297" s="39"/>
    </row>
    <row r="298" spans="2:42">
      <c r="B298" s="39"/>
      <c r="C298" s="39"/>
      <c r="D298" s="39"/>
      <c r="E298" s="39"/>
      <c r="F298" s="39"/>
      <c r="G298" s="39"/>
      <c r="H298" s="39"/>
      <c r="I298" s="39"/>
      <c r="J298" s="39"/>
      <c r="K298" s="39"/>
      <c r="L298" s="100"/>
      <c r="N298" s="39"/>
      <c r="O298" s="39"/>
      <c r="P298" s="39"/>
      <c r="Q298" s="39"/>
      <c r="R298" s="39"/>
      <c r="S298" s="39"/>
      <c r="T298" s="39"/>
      <c r="U298" s="39"/>
      <c r="V298" s="39"/>
      <c r="W298" s="39"/>
      <c r="Y298" s="39"/>
      <c r="Z298" s="39"/>
      <c r="AA298" s="39"/>
      <c r="AB298" s="39"/>
      <c r="AC298" s="39"/>
      <c r="AD298" s="39"/>
      <c r="AE298" s="39"/>
      <c r="AF298" s="39"/>
      <c r="AG298" s="39"/>
      <c r="AH298" s="39"/>
      <c r="AI298" s="39"/>
      <c r="AJ298" s="423"/>
      <c r="AK298" s="39"/>
      <c r="AL298" s="423"/>
      <c r="AM298" s="39"/>
      <c r="AN298" s="39"/>
      <c r="AO298" s="39"/>
      <c r="AP298" s="39"/>
    </row>
    <row r="299" spans="2:42">
      <c r="B299" s="39"/>
      <c r="C299" s="39"/>
      <c r="D299" s="39"/>
      <c r="E299" s="39"/>
      <c r="F299" s="39"/>
      <c r="G299" s="39"/>
      <c r="H299" s="39"/>
      <c r="I299" s="39"/>
      <c r="J299" s="39"/>
      <c r="K299" s="39"/>
      <c r="L299" s="100"/>
      <c r="N299" s="39"/>
      <c r="O299" s="39"/>
      <c r="P299" s="39"/>
      <c r="Q299" s="39"/>
      <c r="R299" s="39"/>
      <c r="S299" s="39"/>
      <c r="T299" s="39"/>
      <c r="U299" s="39"/>
      <c r="V299" s="39"/>
      <c r="W299" s="39"/>
      <c r="Y299" s="39"/>
      <c r="Z299" s="39"/>
      <c r="AA299" s="39"/>
      <c r="AB299" s="39"/>
      <c r="AC299" s="39"/>
      <c r="AD299" s="39"/>
      <c r="AE299" s="39"/>
      <c r="AF299" s="39"/>
      <c r="AG299" s="39"/>
      <c r="AH299" s="39"/>
      <c r="AI299" s="39"/>
      <c r="AJ299" s="423"/>
      <c r="AK299" s="39"/>
      <c r="AL299" s="423"/>
      <c r="AM299" s="39"/>
      <c r="AN299" s="39"/>
      <c r="AO299" s="39"/>
      <c r="AP299" s="39"/>
    </row>
    <row r="300" spans="2:42">
      <c r="B300" s="39"/>
      <c r="C300" s="39"/>
      <c r="D300" s="39"/>
      <c r="E300" s="39"/>
      <c r="F300" s="39"/>
      <c r="G300" s="39"/>
      <c r="H300" s="39"/>
      <c r="I300" s="39"/>
      <c r="J300" s="39"/>
      <c r="K300" s="39"/>
      <c r="L300" s="100"/>
      <c r="N300" s="39"/>
      <c r="O300" s="39"/>
      <c r="P300" s="39"/>
      <c r="Q300" s="39"/>
      <c r="R300" s="39"/>
      <c r="S300" s="39"/>
      <c r="T300" s="39"/>
      <c r="U300" s="39"/>
      <c r="V300" s="39"/>
      <c r="W300" s="39"/>
      <c r="Y300" s="39"/>
      <c r="Z300" s="39"/>
      <c r="AA300" s="39"/>
      <c r="AB300" s="39"/>
      <c r="AC300" s="39"/>
      <c r="AD300" s="39"/>
      <c r="AE300" s="39"/>
      <c r="AF300" s="39"/>
      <c r="AG300" s="39"/>
      <c r="AH300" s="39"/>
      <c r="AI300" s="39"/>
      <c r="AJ300" s="423"/>
      <c r="AK300" s="39"/>
      <c r="AL300" s="423"/>
      <c r="AM300" s="39"/>
      <c r="AN300" s="39"/>
      <c r="AO300" s="39"/>
      <c r="AP300" s="39"/>
    </row>
    <row r="301" spans="2:42">
      <c r="B301" s="39"/>
      <c r="C301" s="39"/>
      <c r="D301" s="39"/>
      <c r="E301" s="39"/>
      <c r="F301" s="39"/>
      <c r="G301" s="39"/>
      <c r="H301" s="39"/>
      <c r="I301" s="39"/>
      <c r="J301" s="39"/>
      <c r="K301" s="39"/>
      <c r="L301" s="100"/>
      <c r="N301" s="39"/>
      <c r="O301" s="39"/>
      <c r="P301" s="39"/>
      <c r="Q301" s="39"/>
      <c r="R301" s="39"/>
      <c r="S301" s="39"/>
      <c r="T301" s="39"/>
      <c r="U301" s="39"/>
      <c r="V301" s="39"/>
      <c r="W301" s="39"/>
      <c r="Y301" s="39"/>
      <c r="Z301" s="39"/>
      <c r="AA301" s="39"/>
      <c r="AB301" s="39"/>
      <c r="AC301" s="39"/>
      <c r="AD301" s="39"/>
      <c r="AE301" s="39"/>
      <c r="AF301" s="39"/>
      <c r="AG301" s="39"/>
      <c r="AH301" s="39"/>
      <c r="AI301" s="39"/>
      <c r="AJ301" s="423"/>
      <c r="AK301" s="39"/>
      <c r="AL301" s="423"/>
      <c r="AM301" s="39"/>
      <c r="AN301" s="39"/>
      <c r="AO301" s="39"/>
      <c r="AP301" s="39"/>
    </row>
    <row r="302" spans="2:42">
      <c r="B302" s="39"/>
      <c r="C302" s="39"/>
      <c r="D302" s="39"/>
      <c r="E302" s="39"/>
      <c r="F302" s="39"/>
      <c r="G302" s="39"/>
      <c r="H302" s="39"/>
      <c r="I302" s="39"/>
      <c r="J302" s="39"/>
      <c r="K302" s="39"/>
      <c r="L302" s="100"/>
      <c r="N302" s="39"/>
      <c r="O302" s="39"/>
      <c r="P302" s="39"/>
      <c r="Q302" s="39"/>
      <c r="R302" s="39"/>
      <c r="S302" s="39"/>
      <c r="T302" s="39"/>
      <c r="U302" s="39"/>
      <c r="V302" s="39"/>
      <c r="W302" s="39"/>
      <c r="Y302" s="39"/>
      <c r="Z302" s="39"/>
      <c r="AA302" s="39"/>
      <c r="AB302" s="39"/>
      <c r="AC302" s="39"/>
      <c r="AD302" s="39"/>
      <c r="AE302" s="39"/>
      <c r="AF302" s="39"/>
      <c r="AG302" s="39"/>
      <c r="AH302" s="39"/>
      <c r="AI302" s="39"/>
      <c r="AJ302" s="423"/>
      <c r="AK302" s="39"/>
      <c r="AL302" s="423"/>
      <c r="AM302" s="39"/>
      <c r="AN302" s="39"/>
      <c r="AO302" s="39"/>
      <c r="AP302" s="39"/>
    </row>
    <row r="303" spans="2:42">
      <c r="B303" s="39"/>
      <c r="C303" s="39"/>
      <c r="D303" s="39"/>
      <c r="E303" s="39"/>
      <c r="F303" s="39"/>
      <c r="G303" s="39"/>
      <c r="H303" s="39"/>
      <c r="I303" s="39"/>
      <c r="J303" s="39"/>
      <c r="K303" s="39"/>
      <c r="L303" s="100"/>
      <c r="N303" s="39"/>
      <c r="O303" s="39"/>
      <c r="P303" s="39"/>
      <c r="Q303" s="39"/>
      <c r="R303" s="39"/>
      <c r="S303" s="39"/>
      <c r="T303" s="39"/>
      <c r="U303" s="39"/>
      <c r="V303" s="39"/>
      <c r="W303" s="39"/>
      <c r="Y303" s="39"/>
      <c r="Z303" s="39"/>
      <c r="AA303" s="39"/>
      <c r="AB303" s="39"/>
      <c r="AC303" s="39"/>
      <c r="AD303" s="39"/>
      <c r="AE303" s="39"/>
      <c r="AF303" s="39"/>
      <c r="AG303" s="39"/>
      <c r="AH303" s="39"/>
      <c r="AI303" s="39"/>
      <c r="AJ303" s="423"/>
      <c r="AK303" s="39"/>
      <c r="AL303" s="423"/>
      <c r="AM303" s="39"/>
      <c r="AN303" s="39"/>
      <c r="AO303" s="39"/>
      <c r="AP303" s="39"/>
    </row>
    <row r="304" spans="2:42">
      <c r="B304" s="39"/>
      <c r="C304" s="39"/>
      <c r="D304" s="39"/>
      <c r="E304" s="39"/>
      <c r="F304" s="39"/>
      <c r="G304" s="39"/>
      <c r="H304" s="39"/>
      <c r="I304" s="39"/>
      <c r="J304" s="39"/>
      <c r="K304" s="39"/>
      <c r="L304" s="100"/>
      <c r="N304" s="39"/>
      <c r="O304" s="39"/>
      <c r="P304" s="39"/>
      <c r="Q304" s="39"/>
      <c r="R304" s="39"/>
      <c r="S304" s="39"/>
      <c r="T304" s="39"/>
      <c r="U304" s="39"/>
      <c r="V304" s="39"/>
      <c r="W304" s="39"/>
      <c r="Y304" s="39"/>
      <c r="Z304" s="39"/>
      <c r="AA304" s="39"/>
      <c r="AB304" s="39"/>
      <c r="AC304" s="39"/>
      <c r="AD304" s="39"/>
      <c r="AE304" s="39"/>
      <c r="AF304" s="39"/>
      <c r="AG304" s="39"/>
      <c r="AH304" s="39"/>
      <c r="AI304" s="39"/>
      <c r="AJ304" s="423"/>
      <c r="AK304" s="39"/>
      <c r="AL304" s="423"/>
      <c r="AM304" s="39"/>
      <c r="AN304" s="39"/>
      <c r="AO304" s="39"/>
      <c r="AP304" s="39"/>
    </row>
    <row r="305" spans="2:42">
      <c r="B305" s="39"/>
      <c r="C305" s="39"/>
      <c r="D305" s="39"/>
      <c r="E305" s="39"/>
      <c r="F305" s="39"/>
      <c r="G305" s="39"/>
      <c r="H305" s="39"/>
      <c r="I305" s="39"/>
      <c r="J305" s="39"/>
      <c r="K305" s="39"/>
      <c r="L305" s="100"/>
      <c r="N305" s="39"/>
      <c r="O305" s="39"/>
      <c r="P305" s="39"/>
      <c r="Q305" s="39"/>
      <c r="R305" s="39"/>
      <c r="S305" s="39"/>
      <c r="T305" s="39"/>
      <c r="U305" s="39"/>
      <c r="V305" s="39"/>
      <c r="W305" s="39"/>
      <c r="Y305" s="39"/>
      <c r="Z305" s="39"/>
      <c r="AA305" s="39"/>
      <c r="AB305" s="39"/>
      <c r="AC305" s="39"/>
      <c r="AD305" s="39"/>
      <c r="AE305" s="39"/>
      <c r="AF305" s="39"/>
      <c r="AG305" s="39"/>
      <c r="AH305" s="39"/>
      <c r="AI305" s="39"/>
      <c r="AJ305" s="423"/>
      <c r="AK305" s="39"/>
      <c r="AL305" s="423"/>
      <c r="AM305" s="39"/>
      <c r="AN305" s="39"/>
      <c r="AO305" s="39"/>
      <c r="AP305" s="39"/>
    </row>
    <row r="306" spans="2:42">
      <c r="B306" s="39"/>
      <c r="C306" s="39"/>
      <c r="D306" s="39"/>
      <c r="E306" s="39"/>
      <c r="F306" s="39"/>
      <c r="G306" s="39"/>
      <c r="H306" s="39"/>
      <c r="I306" s="39"/>
      <c r="J306" s="39"/>
      <c r="K306" s="39"/>
      <c r="L306" s="100"/>
      <c r="N306" s="39"/>
      <c r="O306" s="39"/>
      <c r="P306" s="39"/>
      <c r="Q306" s="39"/>
      <c r="R306" s="39"/>
      <c r="S306" s="39"/>
      <c r="T306" s="39"/>
      <c r="U306" s="39"/>
      <c r="V306" s="39"/>
      <c r="W306" s="39"/>
      <c r="Y306" s="39"/>
      <c r="Z306" s="39"/>
      <c r="AA306" s="39"/>
      <c r="AB306" s="39"/>
      <c r="AC306" s="39"/>
      <c r="AD306" s="39"/>
      <c r="AE306" s="39"/>
      <c r="AF306" s="39"/>
      <c r="AG306" s="39"/>
      <c r="AH306" s="39"/>
      <c r="AI306" s="39"/>
      <c r="AJ306" s="423"/>
      <c r="AK306" s="39"/>
      <c r="AL306" s="423"/>
      <c r="AM306" s="39"/>
      <c r="AN306" s="39"/>
      <c r="AO306" s="39"/>
      <c r="AP306" s="39"/>
    </row>
    <row r="307" spans="2:42">
      <c r="B307" s="39"/>
      <c r="C307" s="39"/>
      <c r="D307" s="39"/>
      <c r="E307" s="39"/>
      <c r="F307" s="39"/>
      <c r="G307" s="39"/>
      <c r="H307" s="39"/>
      <c r="I307" s="39"/>
      <c r="J307" s="39"/>
      <c r="K307" s="39"/>
      <c r="L307" s="100"/>
      <c r="N307" s="39"/>
      <c r="O307" s="39"/>
      <c r="P307" s="39"/>
      <c r="Q307" s="39"/>
      <c r="R307" s="39"/>
      <c r="S307" s="39"/>
      <c r="T307" s="39"/>
      <c r="U307" s="39"/>
      <c r="V307" s="39"/>
      <c r="W307" s="39"/>
      <c r="Y307" s="39"/>
      <c r="Z307" s="39"/>
      <c r="AA307" s="39"/>
      <c r="AB307" s="39"/>
      <c r="AC307" s="39"/>
      <c r="AD307" s="39"/>
      <c r="AE307" s="39"/>
      <c r="AF307" s="39"/>
      <c r="AG307" s="39"/>
      <c r="AH307" s="39"/>
      <c r="AI307" s="39"/>
      <c r="AJ307" s="423"/>
      <c r="AK307" s="39"/>
      <c r="AL307" s="423"/>
      <c r="AM307" s="39"/>
      <c r="AN307" s="39"/>
      <c r="AO307" s="39"/>
      <c r="AP307" s="39"/>
    </row>
    <row r="308" spans="2:42">
      <c r="B308" s="39"/>
      <c r="C308" s="39"/>
      <c r="D308" s="39"/>
      <c r="E308" s="39"/>
      <c r="F308" s="39"/>
      <c r="G308" s="39"/>
      <c r="H308" s="39"/>
      <c r="I308" s="39"/>
      <c r="J308" s="39"/>
      <c r="K308" s="39"/>
      <c r="L308" s="100"/>
      <c r="N308" s="39"/>
      <c r="O308" s="39"/>
      <c r="P308" s="39"/>
      <c r="Q308" s="39"/>
      <c r="R308" s="39"/>
      <c r="S308" s="39"/>
      <c r="T308" s="39"/>
      <c r="U308" s="39"/>
      <c r="V308" s="39"/>
      <c r="W308" s="39"/>
      <c r="Y308" s="39"/>
      <c r="Z308" s="39"/>
      <c r="AA308" s="39"/>
      <c r="AB308" s="39"/>
      <c r="AC308" s="39"/>
      <c r="AD308" s="39"/>
      <c r="AE308" s="39"/>
      <c r="AF308" s="39"/>
      <c r="AG308" s="39"/>
      <c r="AH308" s="39"/>
      <c r="AI308" s="39"/>
      <c r="AJ308" s="423"/>
      <c r="AK308" s="39"/>
      <c r="AL308" s="423"/>
      <c r="AM308" s="39"/>
      <c r="AN308" s="39"/>
      <c r="AO308" s="39"/>
      <c r="AP308" s="39"/>
    </row>
    <row r="309" spans="2:42">
      <c r="B309" s="39"/>
      <c r="C309" s="39"/>
      <c r="D309" s="39"/>
      <c r="E309" s="39"/>
      <c r="F309" s="39"/>
      <c r="G309" s="39"/>
      <c r="H309" s="39"/>
      <c r="I309" s="39"/>
      <c r="J309" s="39"/>
      <c r="K309" s="39"/>
      <c r="L309" s="100"/>
      <c r="N309" s="39"/>
      <c r="O309" s="39"/>
      <c r="P309" s="39"/>
      <c r="Q309" s="39"/>
      <c r="R309" s="39"/>
      <c r="S309" s="39"/>
      <c r="T309" s="39"/>
      <c r="U309" s="39"/>
      <c r="V309" s="39"/>
      <c r="W309" s="39"/>
      <c r="Y309" s="39"/>
      <c r="Z309" s="39"/>
      <c r="AA309" s="39"/>
      <c r="AB309" s="39"/>
      <c r="AC309" s="39"/>
      <c r="AD309" s="39"/>
      <c r="AE309" s="39"/>
      <c r="AF309" s="39"/>
      <c r="AG309" s="39"/>
      <c r="AH309" s="39"/>
      <c r="AI309" s="39"/>
      <c r="AJ309" s="423"/>
      <c r="AK309" s="39"/>
      <c r="AL309" s="423"/>
      <c r="AM309" s="39"/>
      <c r="AN309" s="39"/>
      <c r="AO309" s="39"/>
      <c r="AP309" s="39"/>
    </row>
    <row r="310" spans="2:42">
      <c r="B310" s="39"/>
      <c r="C310" s="39"/>
      <c r="D310" s="39"/>
      <c r="E310" s="39"/>
      <c r="F310" s="39"/>
      <c r="G310" s="39"/>
      <c r="H310" s="39"/>
      <c r="I310" s="39"/>
      <c r="J310" s="39"/>
      <c r="K310" s="39"/>
      <c r="L310" s="100"/>
      <c r="N310" s="39"/>
      <c r="O310" s="39"/>
      <c r="P310" s="39"/>
      <c r="Q310" s="39"/>
      <c r="R310" s="39"/>
      <c r="S310" s="39"/>
      <c r="T310" s="39"/>
      <c r="U310" s="39"/>
      <c r="V310" s="39"/>
      <c r="W310" s="39"/>
      <c r="Y310" s="39"/>
      <c r="Z310" s="39"/>
      <c r="AA310" s="39"/>
      <c r="AB310" s="39"/>
      <c r="AC310" s="39"/>
      <c r="AD310" s="39"/>
      <c r="AE310" s="39"/>
      <c r="AF310" s="39"/>
      <c r="AG310" s="39"/>
      <c r="AH310" s="39"/>
      <c r="AI310" s="39"/>
      <c r="AJ310" s="423"/>
      <c r="AK310" s="39"/>
      <c r="AL310" s="423"/>
      <c r="AM310" s="39"/>
      <c r="AN310" s="39"/>
      <c r="AO310" s="39"/>
      <c r="AP310" s="39"/>
    </row>
    <row r="311" spans="2:42">
      <c r="B311" s="39"/>
      <c r="C311" s="39"/>
      <c r="D311" s="39"/>
      <c r="E311" s="39"/>
      <c r="F311" s="39"/>
      <c r="G311" s="39"/>
      <c r="H311" s="39"/>
      <c r="I311" s="39"/>
      <c r="J311" s="39"/>
      <c r="K311" s="39"/>
      <c r="L311" s="100"/>
      <c r="N311" s="39"/>
      <c r="O311" s="39"/>
      <c r="P311" s="39"/>
      <c r="Q311" s="39"/>
      <c r="R311" s="39"/>
      <c r="S311" s="39"/>
      <c r="T311" s="39"/>
      <c r="U311" s="39"/>
      <c r="V311" s="39"/>
      <c r="W311" s="39"/>
      <c r="Y311" s="39"/>
      <c r="Z311" s="39"/>
      <c r="AA311" s="39"/>
      <c r="AB311" s="39"/>
      <c r="AC311" s="39"/>
      <c r="AD311" s="39"/>
      <c r="AE311" s="39"/>
      <c r="AF311" s="39"/>
      <c r="AG311" s="39"/>
      <c r="AH311" s="39"/>
      <c r="AI311" s="39"/>
      <c r="AJ311" s="423"/>
      <c r="AK311" s="39"/>
      <c r="AL311" s="423"/>
      <c r="AM311" s="39"/>
      <c r="AN311" s="39"/>
      <c r="AO311" s="39"/>
      <c r="AP311" s="39"/>
    </row>
    <row r="312" spans="2:42">
      <c r="B312" s="39"/>
      <c r="C312" s="39"/>
      <c r="D312" s="39"/>
      <c r="E312" s="39"/>
      <c r="F312" s="39"/>
      <c r="G312" s="39"/>
      <c r="H312" s="39"/>
      <c r="I312" s="39"/>
      <c r="J312" s="39"/>
      <c r="K312" s="39"/>
      <c r="L312" s="100"/>
      <c r="N312" s="39"/>
      <c r="O312" s="39"/>
      <c r="P312" s="39"/>
      <c r="Q312" s="39"/>
      <c r="R312" s="39"/>
      <c r="S312" s="39"/>
      <c r="T312" s="39"/>
      <c r="U312" s="39"/>
      <c r="V312" s="39"/>
      <c r="W312" s="39"/>
      <c r="Y312" s="39"/>
      <c r="Z312" s="39"/>
      <c r="AA312" s="39"/>
      <c r="AB312" s="39"/>
      <c r="AC312" s="39"/>
      <c r="AD312" s="39"/>
      <c r="AE312" s="39"/>
      <c r="AF312" s="39"/>
      <c r="AG312" s="39"/>
      <c r="AH312" s="39"/>
      <c r="AI312" s="39"/>
      <c r="AJ312" s="423"/>
      <c r="AK312" s="39"/>
      <c r="AL312" s="423"/>
      <c r="AM312" s="39"/>
      <c r="AN312" s="39"/>
      <c r="AO312" s="39"/>
      <c r="AP312" s="39"/>
    </row>
    <row r="313" spans="2:42">
      <c r="B313" s="39"/>
      <c r="C313" s="39"/>
      <c r="D313" s="39"/>
      <c r="E313" s="39"/>
      <c r="F313" s="39"/>
      <c r="G313" s="39"/>
      <c r="H313" s="39"/>
      <c r="I313" s="39"/>
      <c r="J313" s="39"/>
      <c r="K313" s="39"/>
      <c r="L313" s="100"/>
      <c r="N313" s="39"/>
      <c r="O313" s="39"/>
      <c r="P313" s="39"/>
      <c r="Q313" s="39"/>
      <c r="R313" s="39"/>
      <c r="S313" s="39"/>
      <c r="T313" s="39"/>
      <c r="U313" s="39"/>
      <c r="V313" s="39"/>
      <c r="W313" s="39"/>
      <c r="Y313" s="39"/>
      <c r="Z313" s="39"/>
      <c r="AA313" s="39"/>
      <c r="AB313" s="39"/>
      <c r="AC313" s="39"/>
      <c r="AD313" s="39"/>
      <c r="AE313" s="39"/>
      <c r="AF313" s="39"/>
      <c r="AG313" s="39"/>
      <c r="AH313" s="39"/>
      <c r="AI313" s="39"/>
      <c r="AJ313" s="423"/>
      <c r="AK313" s="39"/>
      <c r="AL313" s="423"/>
      <c r="AM313" s="39"/>
      <c r="AN313" s="39"/>
      <c r="AO313" s="39"/>
      <c r="AP313" s="39"/>
    </row>
    <row r="314" spans="2:42">
      <c r="B314" s="39"/>
      <c r="C314" s="39"/>
      <c r="D314" s="39"/>
      <c r="E314" s="39"/>
      <c r="F314" s="39"/>
      <c r="G314" s="39"/>
      <c r="H314" s="39"/>
      <c r="I314" s="39"/>
      <c r="J314" s="39"/>
      <c r="K314" s="39"/>
      <c r="L314" s="100"/>
      <c r="N314" s="39"/>
      <c r="O314" s="39"/>
      <c r="P314" s="39"/>
      <c r="Q314" s="39"/>
      <c r="R314" s="39"/>
      <c r="S314" s="39"/>
      <c r="T314" s="39"/>
      <c r="U314" s="39"/>
      <c r="V314" s="39"/>
      <c r="W314" s="39"/>
      <c r="Y314" s="39"/>
      <c r="Z314" s="39"/>
      <c r="AA314" s="39"/>
      <c r="AB314" s="39"/>
      <c r="AC314" s="39"/>
      <c r="AD314" s="39"/>
      <c r="AE314" s="39"/>
      <c r="AF314" s="39"/>
      <c r="AG314" s="39"/>
      <c r="AH314" s="39"/>
      <c r="AI314" s="39"/>
      <c r="AJ314" s="423"/>
      <c r="AK314" s="39"/>
      <c r="AL314" s="423"/>
      <c r="AM314" s="39"/>
      <c r="AN314" s="39"/>
      <c r="AO314" s="39"/>
      <c r="AP314" s="39"/>
    </row>
    <row r="315" spans="2:42">
      <c r="B315" s="39"/>
      <c r="C315" s="39"/>
      <c r="D315" s="39"/>
      <c r="E315" s="39"/>
      <c r="F315" s="39"/>
      <c r="G315" s="39"/>
      <c r="H315" s="39"/>
      <c r="I315" s="39"/>
      <c r="J315" s="39"/>
      <c r="K315" s="39"/>
      <c r="L315" s="100"/>
      <c r="N315" s="39"/>
      <c r="O315" s="39"/>
      <c r="P315" s="39"/>
      <c r="Q315" s="39"/>
      <c r="R315" s="39"/>
      <c r="S315" s="39"/>
      <c r="T315" s="39"/>
      <c r="U315" s="39"/>
      <c r="V315" s="39"/>
      <c r="W315" s="39"/>
      <c r="Y315" s="39"/>
      <c r="Z315" s="39"/>
      <c r="AA315" s="39"/>
      <c r="AB315" s="39"/>
      <c r="AC315" s="39"/>
      <c r="AD315" s="39"/>
      <c r="AE315" s="39"/>
      <c r="AF315" s="39"/>
      <c r="AG315" s="39"/>
      <c r="AH315" s="39"/>
      <c r="AI315" s="39"/>
      <c r="AJ315" s="423"/>
      <c r="AK315" s="39"/>
      <c r="AL315" s="423"/>
      <c r="AM315" s="39"/>
      <c r="AN315" s="39"/>
      <c r="AO315" s="39"/>
      <c r="AP315" s="39"/>
    </row>
    <row r="316" spans="2:42">
      <c r="B316" s="39"/>
      <c r="C316" s="39"/>
      <c r="D316" s="39"/>
      <c r="E316" s="39"/>
      <c r="F316" s="39"/>
      <c r="G316" s="39"/>
      <c r="H316" s="39"/>
      <c r="I316" s="39"/>
      <c r="J316" s="39"/>
      <c r="K316" s="39"/>
      <c r="L316" s="100"/>
      <c r="N316" s="39"/>
      <c r="O316" s="39"/>
      <c r="P316" s="39"/>
      <c r="Q316" s="39"/>
      <c r="R316" s="39"/>
      <c r="S316" s="39"/>
      <c r="T316" s="39"/>
      <c r="U316" s="39"/>
      <c r="V316" s="39"/>
      <c r="W316" s="39"/>
      <c r="Y316" s="39"/>
      <c r="Z316" s="39"/>
      <c r="AA316" s="39"/>
      <c r="AB316" s="39"/>
      <c r="AC316" s="39"/>
      <c r="AD316" s="39"/>
      <c r="AE316" s="39"/>
      <c r="AF316" s="39"/>
      <c r="AG316" s="39"/>
      <c r="AH316" s="39"/>
      <c r="AI316" s="39"/>
      <c r="AJ316" s="423"/>
      <c r="AK316" s="39"/>
      <c r="AL316" s="423"/>
      <c r="AM316" s="39"/>
      <c r="AN316" s="39"/>
      <c r="AO316" s="39"/>
      <c r="AP316" s="39"/>
    </row>
    <row r="317" spans="2:42">
      <c r="B317" s="39"/>
      <c r="C317" s="39"/>
      <c r="D317" s="39"/>
      <c r="E317" s="39"/>
      <c r="F317" s="39"/>
      <c r="G317" s="39"/>
      <c r="H317" s="39"/>
      <c r="I317" s="39"/>
      <c r="J317" s="39"/>
      <c r="K317" s="39"/>
      <c r="L317" s="100"/>
      <c r="N317" s="39"/>
      <c r="O317" s="39"/>
      <c r="P317" s="39"/>
      <c r="Q317" s="39"/>
      <c r="R317" s="39"/>
      <c r="S317" s="39"/>
      <c r="T317" s="39"/>
      <c r="U317" s="39"/>
      <c r="V317" s="39"/>
      <c r="W317" s="39"/>
      <c r="Y317" s="39"/>
      <c r="Z317" s="39"/>
      <c r="AA317" s="39"/>
      <c r="AB317" s="39"/>
      <c r="AC317" s="39"/>
      <c r="AD317" s="39"/>
      <c r="AE317" s="39"/>
      <c r="AF317" s="39"/>
      <c r="AG317" s="39"/>
      <c r="AH317" s="39"/>
      <c r="AI317" s="39"/>
      <c r="AJ317" s="423"/>
      <c r="AK317" s="39"/>
      <c r="AL317" s="423"/>
      <c r="AM317" s="39"/>
      <c r="AN317" s="39"/>
      <c r="AO317" s="39"/>
      <c r="AP317" s="39"/>
    </row>
    <row r="318" spans="2:42">
      <c r="B318" s="39"/>
      <c r="C318" s="39"/>
      <c r="D318" s="39"/>
      <c r="E318" s="39"/>
      <c r="F318" s="39"/>
      <c r="G318" s="39"/>
      <c r="H318" s="39"/>
      <c r="I318" s="39"/>
      <c r="J318" s="39"/>
      <c r="K318" s="39"/>
      <c r="L318" s="100"/>
      <c r="N318" s="39"/>
      <c r="O318" s="39"/>
      <c r="P318" s="39"/>
      <c r="Q318" s="39"/>
      <c r="R318" s="39"/>
      <c r="S318" s="39"/>
      <c r="T318" s="39"/>
      <c r="U318" s="39"/>
      <c r="V318" s="39"/>
      <c r="W318" s="39"/>
      <c r="Y318" s="39"/>
      <c r="Z318" s="39"/>
      <c r="AA318" s="39"/>
      <c r="AB318" s="39"/>
      <c r="AC318" s="39"/>
      <c r="AD318" s="39"/>
      <c r="AE318" s="39"/>
      <c r="AF318" s="39"/>
      <c r="AG318" s="39"/>
      <c r="AH318" s="39"/>
      <c r="AI318" s="39"/>
      <c r="AJ318" s="423"/>
      <c r="AK318" s="39"/>
      <c r="AL318" s="423"/>
      <c r="AM318" s="39"/>
      <c r="AN318" s="39"/>
      <c r="AO318" s="39"/>
      <c r="AP318" s="39"/>
    </row>
    <row r="319" spans="2:42">
      <c r="B319" s="39"/>
      <c r="C319" s="39"/>
      <c r="D319" s="39"/>
      <c r="E319" s="39"/>
      <c r="F319" s="39"/>
      <c r="G319" s="39"/>
      <c r="H319" s="39"/>
      <c r="I319" s="39"/>
      <c r="J319" s="39"/>
      <c r="K319" s="39"/>
      <c r="L319" s="100"/>
      <c r="N319" s="39"/>
      <c r="O319" s="39"/>
      <c r="P319" s="39"/>
      <c r="Q319" s="39"/>
      <c r="R319" s="39"/>
      <c r="S319" s="39"/>
      <c r="T319" s="39"/>
      <c r="U319" s="39"/>
      <c r="V319" s="39"/>
      <c r="W319" s="39"/>
      <c r="Y319" s="39"/>
      <c r="Z319" s="39"/>
      <c r="AA319" s="39"/>
      <c r="AB319" s="39"/>
      <c r="AC319" s="39"/>
      <c r="AD319" s="39"/>
      <c r="AE319" s="39"/>
      <c r="AF319" s="39"/>
      <c r="AG319" s="39"/>
      <c r="AH319" s="39"/>
      <c r="AI319" s="39"/>
      <c r="AJ319" s="423"/>
      <c r="AK319" s="39"/>
      <c r="AL319" s="423"/>
      <c r="AM319" s="39"/>
      <c r="AN319" s="39"/>
      <c r="AO319" s="39"/>
      <c r="AP319" s="39"/>
    </row>
    <row r="320" spans="2:42">
      <c r="B320" s="39"/>
      <c r="C320" s="39"/>
      <c r="D320" s="39"/>
      <c r="E320" s="39"/>
      <c r="F320" s="39"/>
      <c r="G320" s="39"/>
      <c r="H320" s="39"/>
      <c r="I320" s="39"/>
      <c r="J320" s="39"/>
      <c r="K320" s="39"/>
      <c r="L320" s="100"/>
      <c r="N320" s="39"/>
      <c r="O320" s="39"/>
      <c r="P320" s="39"/>
      <c r="Q320" s="39"/>
      <c r="R320" s="39"/>
      <c r="S320" s="39"/>
      <c r="T320" s="39"/>
      <c r="U320" s="39"/>
      <c r="V320" s="39"/>
      <c r="W320" s="39"/>
      <c r="Y320" s="39"/>
      <c r="Z320" s="39"/>
      <c r="AA320" s="39"/>
      <c r="AB320" s="39"/>
      <c r="AC320" s="39"/>
      <c r="AD320" s="39"/>
      <c r="AE320" s="39"/>
      <c r="AF320" s="39"/>
      <c r="AG320" s="39"/>
      <c r="AH320" s="39"/>
      <c r="AI320" s="39"/>
      <c r="AJ320" s="423"/>
      <c r="AK320" s="39"/>
      <c r="AL320" s="423"/>
      <c r="AM320" s="39"/>
      <c r="AN320" s="39"/>
      <c r="AO320" s="39"/>
      <c r="AP320" s="39"/>
    </row>
    <row r="321" spans="2:42">
      <c r="B321" s="39"/>
      <c r="C321" s="39"/>
      <c r="D321" s="39"/>
      <c r="E321" s="39"/>
      <c r="F321" s="39"/>
      <c r="G321" s="39"/>
      <c r="H321" s="39"/>
      <c r="I321" s="39"/>
      <c r="J321" s="39"/>
      <c r="K321" s="39"/>
      <c r="L321" s="100"/>
      <c r="N321" s="39"/>
      <c r="O321" s="39"/>
      <c r="P321" s="39"/>
      <c r="Q321" s="39"/>
      <c r="R321" s="39"/>
      <c r="S321" s="39"/>
      <c r="T321" s="39"/>
      <c r="U321" s="39"/>
      <c r="V321" s="39"/>
      <c r="W321" s="39"/>
      <c r="Y321" s="39"/>
      <c r="Z321" s="39"/>
      <c r="AA321" s="39"/>
      <c r="AB321" s="39"/>
      <c r="AC321" s="39"/>
      <c r="AD321" s="39"/>
      <c r="AE321" s="39"/>
      <c r="AF321" s="39"/>
      <c r="AG321" s="39"/>
      <c r="AH321" s="39"/>
      <c r="AI321" s="39"/>
      <c r="AJ321" s="423"/>
      <c r="AK321" s="39"/>
      <c r="AL321" s="423"/>
      <c r="AM321" s="39"/>
      <c r="AN321" s="39"/>
      <c r="AO321" s="39"/>
      <c r="AP321" s="39"/>
    </row>
    <row r="322" spans="2:42">
      <c r="B322" s="39"/>
      <c r="C322" s="39"/>
      <c r="D322" s="39"/>
      <c r="E322" s="39"/>
      <c r="F322" s="39"/>
      <c r="G322" s="39"/>
      <c r="H322" s="39"/>
      <c r="I322" s="39"/>
      <c r="J322" s="39"/>
      <c r="K322" s="39"/>
      <c r="L322" s="100"/>
      <c r="N322" s="39"/>
      <c r="O322" s="39"/>
      <c r="P322" s="39"/>
      <c r="Q322" s="39"/>
      <c r="R322" s="39"/>
      <c r="S322" s="39"/>
      <c r="T322" s="39"/>
      <c r="U322" s="39"/>
      <c r="V322" s="39"/>
      <c r="W322" s="39"/>
      <c r="Y322" s="39"/>
      <c r="Z322" s="39"/>
      <c r="AA322" s="39"/>
      <c r="AB322" s="39"/>
      <c r="AC322" s="39"/>
      <c r="AD322" s="39"/>
      <c r="AE322" s="39"/>
      <c r="AF322" s="39"/>
      <c r="AG322" s="39"/>
      <c r="AH322" s="39"/>
      <c r="AI322" s="39"/>
      <c r="AJ322" s="423"/>
      <c r="AK322" s="39"/>
      <c r="AL322" s="423"/>
      <c r="AM322" s="39"/>
      <c r="AN322" s="39"/>
      <c r="AO322" s="39"/>
      <c r="AP322" s="39"/>
    </row>
    <row r="323" spans="2:42">
      <c r="B323" s="39"/>
      <c r="C323" s="39"/>
      <c r="D323" s="39"/>
      <c r="E323" s="39"/>
      <c r="F323" s="39"/>
      <c r="G323" s="39"/>
      <c r="H323" s="39"/>
      <c r="I323" s="39"/>
      <c r="J323" s="39"/>
      <c r="K323" s="39"/>
      <c r="L323" s="100"/>
      <c r="N323" s="39"/>
      <c r="O323" s="39"/>
      <c r="P323" s="39"/>
      <c r="Q323" s="39"/>
      <c r="R323" s="39"/>
      <c r="S323" s="39"/>
      <c r="T323" s="39"/>
      <c r="U323" s="39"/>
      <c r="V323" s="39"/>
      <c r="W323" s="39"/>
      <c r="Y323" s="39"/>
      <c r="Z323" s="39"/>
      <c r="AA323" s="39"/>
      <c r="AB323" s="39"/>
      <c r="AC323" s="39"/>
      <c r="AD323" s="39"/>
      <c r="AE323" s="39"/>
      <c r="AF323" s="39"/>
      <c r="AG323" s="39"/>
      <c r="AH323" s="39"/>
      <c r="AI323" s="39"/>
      <c r="AJ323" s="423"/>
      <c r="AK323" s="39"/>
      <c r="AL323" s="423"/>
      <c r="AM323" s="39"/>
      <c r="AN323" s="39"/>
      <c r="AO323" s="39"/>
      <c r="AP323" s="39"/>
    </row>
    <row r="324" spans="2:42">
      <c r="B324" s="39"/>
      <c r="C324" s="39"/>
      <c r="D324" s="39"/>
      <c r="E324" s="39"/>
      <c r="F324" s="39"/>
      <c r="G324" s="39"/>
      <c r="H324" s="39"/>
      <c r="I324" s="39"/>
      <c r="J324" s="39"/>
      <c r="K324" s="39"/>
      <c r="L324" s="100"/>
      <c r="N324" s="39"/>
      <c r="O324" s="39"/>
      <c r="P324" s="39"/>
      <c r="Q324" s="39"/>
      <c r="R324" s="39"/>
      <c r="S324" s="39"/>
      <c r="T324" s="39"/>
      <c r="U324" s="39"/>
      <c r="V324" s="39"/>
      <c r="W324" s="39"/>
      <c r="Y324" s="39"/>
      <c r="Z324" s="39"/>
      <c r="AA324" s="39"/>
      <c r="AB324" s="39"/>
      <c r="AC324" s="39"/>
      <c r="AD324" s="39"/>
      <c r="AE324" s="39"/>
      <c r="AF324" s="39"/>
      <c r="AG324" s="39"/>
      <c r="AH324" s="39"/>
      <c r="AI324" s="39"/>
      <c r="AJ324" s="423"/>
      <c r="AK324" s="39"/>
      <c r="AL324" s="423"/>
      <c r="AM324" s="39"/>
      <c r="AN324" s="39"/>
      <c r="AO324" s="39"/>
      <c r="AP324" s="39"/>
    </row>
    <row r="325" spans="2:42">
      <c r="B325" s="39"/>
      <c r="C325" s="39"/>
      <c r="D325" s="39"/>
      <c r="E325" s="39"/>
      <c r="F325" s="39"/>
      <c r="G325" s="39"/>
      <c r="H325" s="39"/>
      <c r="I325" s="39"/>
      <c r="J325" s="39"/>
      <c r="K325" s="39"/>
      <c r="L325" s="100"/>
      <c r="N325" s="39"/>
      <c r="O325" s="39"/>
      <c r="P325" s="39"/>
      <c r="Q325" s="39"/>
      <c r="R325" s="39"/>
      <c r="S325" s="39"/>
      <c r="T325" s="39"/>
      <c r="U325" s="39"/>
      <c r="V325" s="39"/>
      <c r="W325" s="39"/>
      <c r="Y325" s="39"/>
      <c r="Z325" s="39"/>
      <c r="AA325" s="39"/>
      <c r="AB325" s="39"/>
      <c r="AC325" s="39"/>
      <c r="AD325" s="39"/>
      <c r="AE325" s="39"/>
      <c r="AF325" s="39"/>
      <c r="AG325" s="39"/>
      <c r="AH325" s="39"/>
      <c r="AI325" s="39"/>
      <c r="AJ325" s="423"/>
      <c r="AK325" s="39"/>
      <c r="AL325" s="423"/>
      <c r="AM325" s="39"/>
      <c r="AN325" s="39"/>
      <c r="AO325" s="39"/>
      <c r="AP325" s="39"/>
    </row>
    <row r="326" spans="2:42">
      <c r="B326" s="39"/>
      <c r="C326" s="39"/>
      <c r="D326" s="39"/>
      <c r="E326" s="39"/>
      <c r="F326" s="39"/>
      <c r="G326" s="39"/>
      <c r="H326" s="39"/>
      <c r="I326" s="39"/>
      <c r="J326" s="39"/>
      <c r="K326" s="39"/>
      <c r="L326" s="100"/>
      <c r="N326" s="39"/>
      <c r="O326" s="39"/>
      <c r="P326" s="39"/>
      <c r="Q326" s="39"/>
      <c r="R326" s="39"/>
      <c r="S326" s="39"/>
      <c r="T326" s="39"/>
      <c r="U326" s="39"/>
      <c r="V326" s="39"/>
      <c r="W326" s="39"/>
      <c r="Y326" s="39"/>
      <c r="Z326" s="39"/>
      <c r="AA326" s="39"/>
      <c r="AB326" s="39"/>
      <c r="AC326" s="39"/>
      <c r="AD326" s="39"/>
      <c r="AE326" s="39"/>
      <c r="AF326" s="39"/>
      <c r="AG326" s="39"/>
      <c r="AH326" s="39"/>
      <c r="AI326" s="39"/>
      <c r="AJ326" s="423"/>
      <c r="AK326" s="39"/>
      <c r="AL326" s="423"/>
      <c r="AM326" s="39"/>
      <c r="AN326" s="39"/>
      <c r="AO326" s="39"/>
      <c r="AP326" s="39"/>
    </row>
    <row r="327" spans="2:42">
      <c r="B327" s="39"/>
      <c r="C327" s="39"/>
      <c r="D327" s="39"/>
      <c r="E327" s="39"/>
      <c r="F327" s="39"/>
      <c r="G327" s="39"/>
      <c r="H327" s="39"/>
      <c r="I327" s="39"/>
      <c r="J327" s="39"/>
      <c r="K327" s="39"/>
      <c r="L327" s="100"/>
      <c r="N327" s="39"/>
      <c r="O327" s="39"/>
      <c r="P327" s="39"/>
      <c r="Q327" s="39"/>
      <c r="R327" s="39"/>
      <c r="S327" s="39"/>
      <c r="T327" s="39"/>
      <c r="U327" s="39"/>
      <c r="V327" s="39"/>
      <c r="W327" s="39"/>
      <c r="Y327" s="39"/>
      <c r="Z327" s="39"/>
      <c r="AA327" s="39"/>
      <c r="AB327" s="39"/>
      <c r="AC327" s="39"/>
      <c r="AD327" s="39"/>
      <c r="AE327" s="39"/>
      <c r="AF327" s="39"/>
      <c r="AG327" s="39"/>
      <c r="AH327" s="39"/>
      <c r="AI327" s="39"/>
      <c r="AJ327" s="423"/>
      <c r="AK327" s="39"/>
      <c r="AL327" s="423"/>
      <c r="AM327" s="39"/>
      <c r="AN327" s="39"/>
      <c r="AO327" s="39"/>
      <c r="AP327" s="39"/>
    </row>
    <row r="328" spans="2:42">
      <c r="B328" s="39"/>
      <c r="C328" s="39"/>
      <c r="D328" s="39"/>
      <c r="E328" s="39"/>
      <c r="F328" s="39"/>
      <c r="G328" s="39"/>
      <c r="H328" s="39"/>
      <c r="I328" s="39"/>
      <c r="J328" s="39"/>
      <c r="K328" s="39"/>
      <c r="L328" s="100"/>
      <c r="N328" s="39"/>
      <c r="O328" s="39"/>
      <c r="P328" s="39"/>
      <c r="Q328" s="39"/>
      <c r="R328" s="39"/>
      <c r="S328" s="39"/>
      <c r="T328" s="39"/>
      <c r="U328" s="39"/>
      <c r="V328" s="39"/>
      <c r="W328" s="39"/>
      <c r="Y328" s="39"/>
      <c r="Z328" s="39"/>
      <c r="AA328" s="39"/>
      <c r="AB328" s="39"/>
      <c r="AC328" s="39"/>
      <c r="AD328" s="39"/>
      <c r="AE328" s="39"/>
      <c r="AF328" s="39"/>
      <c r="AG328" s="39"/>
      <c r="AH328" s="39"/>
      <c r="AI328" s="39"/>
      <c r="AJ328" s="423"/>
      <c r="AK328" s="39"/>
      <c r="AL328" s="423"/>
      <c r="AM328" s="39"/>
      <c r="AN328" s="39"/>
      <c r="AO328" s="39"/>
      <c r="AP328" s="39"/>
    </row>
    <row r="329" spans="2:42">
      <c r="B329" s="39"/>
      <c r="C329" s="39"/>
      <c r="D329" s="39"/>
      <c r="E329" s="39"/>
      <c r="F329" s="39"/>
      <c r="G329" s="39"/>
      <c r="H329" s="39"/>
      <c r="I329" s="39"/>
      <c r="J329" s="39"/>
      <c r="K329" s="39"/>
      <c r="L329" s="100"/>
      <c r="N329" s="39"/>
      <c r="O329" s="39"/>
      <c r="P329" s="39"/>
      <c r="Q329" s="39"/>
      <c r="R329" s="39"/>
      <c r="S329" s="39"/>
      <c r="T329" s="39"/>
      <c r="U329" s="39"/>
      <c r="V329" s="39"/>
      <c r="W329" s="39"/>
      <c r="Y329" s="39"/>
      <c r="Z329" s="39"/>
      <c r="AA329" s="39"/>
      <c r="AB329" s="39"/>
      <c r="AC329" s="39"/>
      <c r="AD329" s="39"/>
      <c r="AE329" s="39"/>
      <c r="AF329" s="39"/>
      <c r="AG329" s="39"/>
      <c r="AH329" s="39"/>
      <c r="AI329" s="39"/>
      <c r="AJ329" s="423"/>
      <c r="AK329" s="39"/>
      <c r="AL329" s="423"/>
      <c r="AM329" s="39"/>
      <c r="AN329" s="39"/>
      <c r="AO329" s="39"/>
      <c r="AP329" s="39"/>
    </row>
    <row r="330" spans="2:42">
      <c r="B330" s="39"/>
      <c r="C330" s="39"/>
      <c r="D330" s="39"/>
      <c r="E330" s="39"/>
      <c r="F330" s="39"/>
      <c r="G330" s="39"/>
      <c r="H330" s="39"/>
      <c r="I330" s="39"/>
      <c r="J330" s="39"/>
      <c r="K330" s="39"/>
      <c r="L330" s="100"/>
      <c r="N330" s="39"/>
      <c r="O330" s="39"/>
      <c r="P330" s="39"/>
      <c r="Q330" s="39"/>
      <c r="R330" s="39"/>
      <c r="S330" s="39"/>
      <c r="T330" s="39"/>
      <c r="U330" s="39"/>
      <c r="V330" s="39"/>
      <c r="W330" s="39"/>
      <c r="Y330" s="39"/>
      <c r="Z330" s="39"/>
      <c r="AA330" s="39"/>
      <c r="AB330" s="39"/>
      <c r="AC330" s="39"/>
      <c r="AD330" s="39"/>
      <c r="AE330" s="39"/>
      <c r="AF330" s="39"/>
      <c r="AG330" s="39"/>
      <c r="AH330" s="39"/>
      <c r="AI330" s="39"/>
      <c r="AJ330" s="423"/>
      <c r="AK330" s="39"/>
      <c r="AL330" s="423"/>
      <c r="AM330" s="39"/>
      <c r="AN330" s="39"/>
      <c r="AO330" s="39"/>
      <c r="AP330" s="39"/>
    </row>
    <row r="331" spans="2:42">
      <c r="B331" s="39"/>
      <c r="C331" s="39"/>
      <c r="D331" s="39"/>
      <c r="E331" s="39"/>
      <c r="F331" s="39"/>
      <c r="G331" s="39"/>
      <c r="H331" s="39"/>
      <c r="I331" s="39"/>
      <c r="J331" s="39"/>
      <c r="K331" s="39"/>
      <c r="L331" s="100"/>
      <c r="N331" s="39"/>
      <c r="O331" s="39"/>
      <c r="P331" s="39"/>
      <c r="Q331" s="39"/>
      <c r="R331" s="39"/>
      <c r="S331" s="39"/>
      <c r="T331" s="39"/>
      <c r="U331" s="39"/>
      <c r="V331" s="39"/>
      <c r="W331" s="39"/>
      <c r="Y331" s="39"/>
      <c r="Z331" s="39"/>
      <c r="AA331" s="39"/>
      <c r="AB331" s="39"/>
      <c r="AC331" s="39"/>
      <c r="AD331" s="39"/>
      <c r="AE331" s="39"/>
      <c r="AF331" s="39"/>
      <c r="AG331" s="39"/>
      <c r="AH331" s="39"/>
      <c r="AI331" s="39"/>
      <c r="AJ331" s="423"/>
      <c r="AK331" s="39"/>
      <c r="AL331" s="423"/>
      <c r="AM331" s="39"/>
      <c r="AN331" s="39"/>
      <c r="AO331" s="39"/>
      <c r="AP331" s="39"/>
    </row>
    <row r="332" spans="2:42">
      <c r="B332" s="39"/>
      <c r="C332" s="39"/>
      <c r="D332" s="39"/>
      <c r="E332" s="39"/>
      <c r="F332" s="39"/>
      <c r="G332" s="39"/>
      <c r="H332" s="39"/>
      <c r="I332" s="39"/>
      <c r="J332" s="39"/>
      <c r="K332" s="39"/>
      <c r="L332" s="100"/>
      <c r="N332" s="39"/>
      <c r="O332" s="39"/>
      <c r="P332" s="39"/>
      <c r="Q332" s="39"/>
      <c r="R332" s="39"/>
      <c r="S332" s="39"/>
      <c r="T332" s="39"/>
      <c r="U332" s="39"/>
      <c r="V332" s="39"/>
      <c r="W332" s="39"/>
      <c r="Y332" s="39"/>
      <c r="Z332" s="39"/>
      <c r="AA332" s="39"/>
      <c r="AB332" s="39"/>
      <c r="AC332" s="39"/>
      <c r="AD332" s="39"/>
      <c r="AE332" s="39"/>
      <c r="AF332" s="39"/>
      <c r="AG332" s="39"/>
      <c r="AH332" s="39"/>
      <c r="AI332" s="39"/>
      <c r="AJ332" s="423"/>
      <c r="AK332" s="39"/>
      <c r="AL332" s="423"/>
      <c r="AM332" s="39"/>
      <c r="AN332" s="39"/>
      <c r="AO332" s="39"/>
      <c r="AP332" s="39"/>
    </row>
    <row r="333" spans="2:42">
      <c r="B333" s="39"/>
      <c r="C333" s="39"/>
      <c r="D333" s="39"/>
      <c r="E333" s="39"/>
      <c r="F333" s="39"/>
      <c r="G333" s="39"/>
      <c r="H333" s="39"/>
      <c r="I333" s="39"/>
      <c r="J333" s="39"/>
      <c r="K333" s="39"/>
      <c r="L333" s="100"/>
      <c r="N333" s="39"/>
      <c r="O333" s="39"/>
      <c r="P333" s="39"/>
      <c r="Q333" s="39"/>
      <c r="R333" s="39"/>
      <c r="S333" s="39"/>
      <c r="T333" s="39"/>
      <c r="U333" s="39"/>
      <c r="V333" s="39"/>
      <c r="W333" s="39"/>
      <c r="Y333" s="39"/>
      <c r="Z333" s="39"/>
      <c r="AA333" s="39"/>
      <c r="AB333" s="39"/>
      <c r="AC333" s="39"/>
      <c r="AD333" s="39"/>
      <c r="AE333" s="39"/>
      <c r="AF333" s="39"/>
      <c r="AG333" s="39"/>
      <c r="AH333" s="39"/>
      <c r="AI333" s="39"/>
      <c r="AJ333" s="423"/>
      <c r="AK333" s="39"/>
      <c r="AL333" s="423"/>
      <c r="AM333" s="39"/>
      <c r="AN333" s="39"/>
      <c r="AO333" s="39"/>
      <c r="AP333" s="39"/>
    </row>
    <row r="334" spans="2:42">
      <c r="B334" s="39"/>
      <c r="C334" s="39"/>
      <c r="D334" s="39"/>
      <c r="E334" s="39"/>
      <c r="F334" s="39"/>
      <c r="G334" s="39"/>
      <c r="H334" s="39"/>
      <c r="I334" s="39"/>
      <c r="J334" s="39"/>
      <c r="K334" s="39"/>
      <c r="L334" s="100"/>
      <c r="N334" s="39"/>
      <c r="O334" s="39"/>
      <c r="P334" s="39"/>
      <c r="Q334" s="39"/>
      <c r="R334" s="39"/>
      <c r="S334" s="39"/>
      <c r="T334" s="39"/>
      <c r="U334" s="39"/>
      <c r="V334" s="39"/>
      <c r="W334" s="39"/>
      <c r="Y334" s="39"/>
      <c r="Z334" s="39"/>
      <c r="AA334" s="39"/>
      <c r="AB334" s="39"/>
      <c r="AC334" s="39"/>
      <c r="AD334" s="39"/>
      <c r="AE334" s="39"/>
      <c r="AF334" s="39"/>
      <c r="AG334" s="39"/>
      <c r="AH334" s="39"/>
      <c r="AI334" s="39"/>
      <c r="AJ334" s="423"/>
      <c r="AK334" s="39"/>
      <c r="AL334" s="423"/>
      <c r="AM334" s="39"/>
      <c r="AN334" s="39"/>
      <c r="AO334" s="39"/>
      <c r="AP334" s="39"/>
    </row>
    <row r="335" spans="2:42">
      <c r="B335" s="39"/>
      <c r="C335" s="39"/>
      <c r="D335" s="39"/>
      <c r="E335" s="39"/>
      <c r="F335" s="39"/>
      <c r="G335" s="39"/>
      <c r="H335" s="39"/>
      <c r="I335" s="39"/>
      <c r="J335" s="39"/>
      <c r="K335" s="39"/>
      <c r="L335" s="100"/>
      <c r="N335" s="39"/>
      <c r="O335" s="39"/>
      <c r="P335" s="39"/>
      <c r="Q335" s="39"/>
      <c r="R335" s="39"/>
      <c r="S335" s="39"/>
      <c r="T335" s="39"/>
      <c r="U335" s="39"/>
      <c r="V335" s="39"/>
      <c r="W335" s="39"/>
      <c r="Y335" s="39"/>
      <c r="Z335" s="39"/>
      <c r="AA335" s="39"/>
      <c r="AB335" s="39"/>
      <c r="AC335" s="39"/>
      <c r="AD335" s="39"/>
      <c r="AE335" s="39"/>
      <c r="AF335" s="39"/>
      <c r="AG335" s="39"/>
      <c r="AH335" s="39"/>
      <c r="AI335" s="39"/>
      <c r="AJ335" s="423"/>
      <c r="AK335" s="39"/>
      <c r="AL335" s="423"/>
      <c r="AM335" s="39"/>
      <c r="AN335" s="39"/>
      <c r="AO335" s="39"/>
      <c r="AP335" s="39"/>
    </row>
    <row r="336" spans="2:42">
      <c r="B336" s="39"/>
      <c r="C336" s="39"/>
      <c r="D336" s="39"/>
      <c r="E336" s="39"/>
      <c r="F336" s="39"/>
      <c r="G336" s="39"/>
      <c r="H336" s="39"/>
      <c r="I336" s="39"/>
      <c r="J336" s="39"/>
      <c r="K336" s="39"/>
      <c r="L336" s="100"/>
      <c r="N336" s="39"/>
      <c r="O336" s="39"/>
      <c r="P336" s="39"/>
      <c r="Q336" s="39"/>
      <c r="R336" s="39"/>
      <c r="S336" s="39"/>
      <c r="T336" s="39"/>
      <c r="U336" s="39"/>
      <c r="V336" s="39"/>
      <c r="W336" s="39"/>
      <c r="Y336" s="39"/>
      <c r="Z336" s="39"/>
      <c r="AA336" s="39"/>
      <c r="AB336" s="39"/>
      <c r="AC336" s="39"/>
      <c r="AD336" s="39"/>
      <c r="AE336" s="39"/>
      <c r="AF336" s="39"/>
      <c r="AG336" s="39"/>
      <c r="AH336" s="39"/>
      <c r="AI336" s="39"/>
      <c r="AJ336" s="423"/>
      <c r="AK336" s="39"/>
      <c r="AL336" s="423"/>
      <c r="AM336" s="39"/>
      <c r="AN336" s="39"/>
      <c r="AO336" s="39"/>
      <c r="AP336" s="39"/>
    </row>
    <row r="337" spans="2:42">
      <c r="B337" s="39"/>
      <c r="C337" s="39"/>
      <c r="D337" s="39"/>
      <c r="E337" s="39"/>
      <c r="F337" s="39"/>
      <c r="G337" s="39"/>
      <c r="H337" s="39"/>
      <c r="I337" s="39"/>
      <c r="J337" s="39"/>
      <c r="K337" s="39"/>
      <c r="L337" s="100"/>
      <c r="N337" s="39"/>
      <c r="O337" s="39"/>
      <c r="P337" s="39"/>
      <c r="Q337" s="39"/>
      <c r="R337" s="39"/>
      <c r="S337" s="39"/>
      <c r="T337" s="39"/>
      <c r="U337" s="39"/>
      <c r="V337" s="39"/>
      <c r="W337" s="39"/>
      <c r="Y337" s="39"/>
      <c r="Z337" s="39"/>
      <c r="AA337" s="39"/>
      <c r="AB337" s="39"/>
      <c r="AC337" s="39"/>
      <c r="AD337" s="39"/>
      <c r="AE337" s="39"/>
      <c r="AF337" s="39"/>
      <c r="AG337" s="39"/>
      <c r="AH337" s="39"/>
      <c r="AI337" s="39"/>
      <c r="AJ337" s="423"/>
      <c r="AK337" s="39"/>
      <c r="AL337" s="423"/>
      <c r="AM337" s="39"/>
      <c r="AN337" s="39"/>
      <c r="AO337" s="39"/>
      <c r="AP337" s="39"/>
    </row>
    <row r="338" spans="2:42">
      <c r="B338" s="39"/>
      <c r="C338" s="39"/>
      <c r="D338" s="39"/>
      <c r="E338" s="39"/>
      <c r="F338" s="39"/>
      <c r="G338" s="39"/>
      <c r="H338" s="39"/>
      <c r="I338" s="39"/>
      <c r="J338" s="39"/>
      <c r="K338" s="39"/>
      <c r="L338" s="100"/>
      <c r="N338" s="39"/>
      <c r="O338" s="39"/>
      <c r="P338" s="39"/>
      <c r="Q338" s="39"/>
      <c r="R338" s="39"/>
      <c r="S338" s="39"/>
      <c r="T338" s="39"/>
      <c r="U338" s="39"/>
      <c r="V338" s="39"/>
      <c r="W338" s="39"/>
      <c r="Y338" s="39"/>
      <c r="Z338" s="39"/>
      <c r="AA338" s="39"/>
      <c r="AB338" s="39"/>
      <c r="AC338" s="39"/>
      <c r="AD338" s="39"/>
      <c r="AE338" s="39"/>
      <c r="AF338" s="39"/>
      <c r="AG338" s="39"/>
      <c r="AH338" s="39"/>
      <c r="AI338" s="39"/>
      <c r="AJ338" s="423"/>
      <c r="AK338" s="39"/>
      <c r="AL338" s="423"/>
      <c r="AM338" s="39"/>
      <c r="AN338" s="39"/>
      <c r="AO338" s="39"/>
      <c r="AP338" s="39"/>
    </row>
    <row r="339" spans="2:42">
      <c r="B339" s="39"/>
      <c r="C339" s="39"/>
      <c r="D339" s="39"/>
      <c r="E339" s="39"/>
      <c r="F339" s="39"/>
      <c r="G339" s="39"/>
      <c r="H339" s="39"/>
      <c r="I339" s="39"/>
      <c r="J339" s="39"/>
      <c r="K339" s="39"/>
      <c r="L339" s="100"/>
      <c r="N339" s="39"/>
      <c r="O339" s="39"/>
      <c r="P339" s="39"/>
      <c r="Q339" s="39"/>
      <c r="R339" s="39"/>
      <c r="S339" s="39"/>
      <c r="T339" s="39"/>
      <c r="U339" s="39"/>
      <c r="V339" s="39"/>
      <c r="W339" s="39"/>
      <c r="Y339" s="39"/>
      <c r="Z339" s="39"/>
      <c r="AA339" s="39"/>
      <c r="AB339" s="39"/>
      <c r="AC339" s="39"/>
      <c r="AD339" s="39"/>
      <c r="AE339" s="39"/>
      <c r="AF339" s="39"/>
      <c r="AG339" s="39"/>
      <c r="AH339" s="39"/>
      <c r="AI339" s="39"/>
      <c r="AJ339" s="423"/>
      <c r="AK339" s="39"/>
      <c r="AL339" s="423"/>
      <c r="AM339" s="39"/>
      <c r="AN339" s="39"/>
      <c r="AO339" s="39"/>
      <c r="AP339" s="39"/>
    </row>
    <row r="340" spans="2:42">
      <c r="B340" s="39"/>
      <c r="C340" s="39"/>
      <c r="D340" s="39"/>
      <c r="E340" s="39"/>
      <c r="F340" s="39"/>
      <c r="G340" s="39"/>
      <c r="H340" s="39"/>
      <c r="I340" s="39"/>
      <c r="J340" s="39"/>
      <c r="K340" s="39"/>
      <c r="L340" s="100"/>
      <c r="N340" s="39"/>
      <c r="O340" s="39"/>
      <c r="P340" s="39"/>
      <c r="Q340" s="39"/>
      <c r="R340" s="39"/>
      <c r="S340" s="39"/>
      <c r="T340" s="39"/>
      <c r="U340" s="39"/>
      <c r="V340" s="39"/>
      <c r="W340" s="39"/>
      <c r="Y340" s="39"/>
      <c r="Z340" s="39"/>
      <c r="AA340" s="39"/>
      <c r="AB340" s="39"/>
      <c r="AC340" s="39"/>
      <c r="AD340" s="39"/>
      <c r="AE340" s="39"/>
      <c r="AF340" s="39"/>
      <c r="AG340" s="39"/>
      <c r="AH340" s="39"/>
      <c r="AI340" s="39"/>
      <c r="AJ340" s="423"/>
      <c r="AK340" s="39"/>
      <c r="AL340" s="423"/>
      <c r="AM340" s="39"/>
      <c r="AN340" s="39"/>
      <c r="AO340" s="39"/>
      <c r="AP340" s="39"/>
    </row>
    <row r="341" spans="2:42">
      <c r="B341" s="39"/>
      <c r="C341" s="39"/>
      <c r="D341" s="39"/>
      <c r="E341" s="39"/>
      <c r="F341" s="39"/>
      <c r="G341" s="39"/>
      <c r="H341" s="39"/>
      <c r="I341" s="39"/>
      <c r="J341" s="39"/>
      <c r="K341" s="39"/>
      <c r="L341" s="100"/>
      <c r="N341" s="39"/>
      <c r="O341" s="39"/>
      <c r="P341" s="39"/>
      <c r="Q341" s="39"/>
      <c r="R341" s="39"/>
      <c r="S341" s="39"/>
      <c r="T341" s="39"/>
      <c r="U341" s="39"/>
      <c r="V341" s="39"/>
      <c r="W341" s="39"/>
      <c r="Y341" s="39"/>
      <c r="Z341" s="39"/>
      <c r="AA341" s="39"/>
      <c r="AB341" s="39"/>
      <c r="AC341" s="39"/>
      <c r="AD341" s="39"/>
      <c r="AE341" s="39"/>
      <c r="AF341" s="39"/>
      <c r="AG341" s="39"/>
      <c r="AH341" s="39"/>
      <c r="AI341" s="39"/>
      <c r="AJ341" s="423"/>
      <c r="AK341" s="39"/>
      <c r="AL341" s="423"/>
      <c r="AM341" s="39"/>
      <c r="AN341" s="39"/>
      <c r="AO341" s="39"/>
      <c r="AP341" s="39"/>
    </row>
    <row r="342" spans="2:42">
      <c r="B342" s="39"/>
      <c r="C342" s="39"/>
      <c r="D342" s="39"/>
      <c r="E342" s="39"/>
      <c r="F342" s="39"/>
      <c r="G342" s="39"/>
      <c r="H342" s="39"/>
      <c r="I342" s="39"/>
      <c r="J342" s="39"/>
      <c r="K342" s="39"/>
      <c r="L342" s="100"/>
      <c r="N342" s="39"/>
      <c r="O342" s="39"/>
      <c r="P342" s="39"/>
      <c r="Q342" s="39"/>
      <c r="R342" s="39"/>
      <c r="S342" s="39"/>
      <c r="T342" s="39"/>
      <c r="U342" s="39"/>
      <c r="V342" s="39"/>
      <c r="W342" s="39"/>
      <c r="Y342" s="39"/>
      <c r="Z342" s="39"/>
      <c r="AA342" s="39"/>
      <c r="AB342" s="39"/>
      <c r="AC342" s="39"/>
      <c r="AD342" s="39"/>
      <c r="AE342" s="39"/>
      <c r="AF342" s="39"/>
      <c r="AG342" s="39"/>
      <c r="AH342" s="39"/>
      <c r="AI342" s="39"/>
      <c r="AJ342" s="423"/>
      <c r="AK342" s="39"/>
      <c r="AL342" s="423"/>
      <c r="AM342" s="39"/>
      <c r="AN342" s="39"/>
      <c r="AO342" s="39"/>
      <c r="AP342" s="39"/>
    </row>
    <row r="343" spans="2:42">
      <c r="B343" s="39"/>
      <c r="C343" s="39"/>
      <c r="D343" s="39"/>
      <c r="E343" s="39"/>
      <c r="F343" s="39"/>
      <c r="G343" s="39"/>
      <c r="H343" s="39"/>
      <c r="I343" s="39"/>
      <c r="J343" s="39"/>
      <c r="K343" s="39"/>
      <c r="L343" s="100"/>
      <c r="N343" s="39"/>
      <c r="O343" s="39"/>
      <c r="P343" s="39"/>
      <c r="Q343" s="39"/>
      <c r="R343" s="39"/>
      <c r="S343" s="39"/>
      <c r="T343" s="39"/>
      <c r="U343" s="39"/>
      <c r="V343" s="39"/>
      <c r="W343" s="39"/>
      <c r="Y343" s="39"/>
      <c r="Z343" s="39"/>
      <c r="AA343" s="39"/>
      <c r="AB343" s="39"/>
      <c r="AC343" s="39"/>
      <c r="AD343" s="39"/>
      <c r="AE343" s="39"/>
      <c r="AF343" s="39"/>
      <c r="AG343" s="39"/>
      <c r="AH343" s="39"/>
      <c r="AI343" s="39"/>
      <c r="AJ343" s="423"/>
      <c r="AK343" s="39"/>
      <c r="AL343" s="423"/>
      <c r="AM343" s="39"/>
      <c r="AN343" s="39"/>
      <c r="AO343" s="39"/>
      <c r="AP343" s="39"/>
    </row>
    <row r="344" spans="2:42">
      <c r="B344" s="39"/>
      <c r="C344" s="39"/>
      <c r="D344" s="39"/>
      <c r="E344" s="39"/>
      <c r="F344" s="39"/>
      <c r="G344" s="39"/>
      <c r="H344" s="39"/>
      <c r="I344" s="39"/>
      <c r="J344" s="39"/>
      <c r="K344" s="39"/>
      <c r="L344" s="100"/>
      <c r="N344" s="39"/>
      <c r="O344" s="39"/>
      <c r="P344" s="39"/>
      <c r="Q344" s="39"/>
      <c r="R344" s="39"/>
      <c r="S344" s="39"/>
      <c r="T344" s="39"/>
      <c r="U344" s="39"/>
      <c r="V344" s="39"/>
      <c r="W344" s="39"/>
      <c r="Y344" s="39"/>
      <c r="Z344" s="39"/>
      <c r="AA344" s="39"/>
      <c r="AB344" s="39"/>
      <c r="AC344" s="39"/>
      <c r="AD344" s="39"/>
      <c r="AE344" s="39"/>
      <c r="AF344" s="39"/>
      <c r="AG344" s="39"/>
      <c r="AH344" s="39"/>
      <c r="AI344" s="39"/>
      <c r="AJ344" s="423"/>
      <c r="AK344" s="39"/>
      <c r="AL344" s="423"/>
      <c r="AM344" s="39"/>
      <c r="AN344" s="39"/>
      <c r="AO344" s="39"/>
      <c r="AP344" s="39"/>
    </row>
    <row r="345" spans="2:42">
      <c r="B345" s="39"/>
      <c r="C345" s="39"/>
      <c r="D345" s="39"/>
      <c r="E345" s="39"/>
      <c r="F345" s="39"/>
      <c r="G345" s="39"/>
      <c r="H345" s="39"/>
      <c r="I345" s="39"/>
      <c r="J345" s="39"/>
      <c r="K345" s="39"/>
      <c r="L345" s="100"/>
      <c r="N345" s="39"/>
      <c r="O345" s="39"/>
      <c r="P345" s="39"/>
      <c r="Q345" s="39"/>
      <c r="R345" s="39"/>
      <c r="S345" s="39"/>
      <c r="T345" s="39"/>
      <c r="U345" s="39"/>
      <c r="V345" s="39"/>
      <c r="W345" s="39"/>
      <c r="Y345" s="39"/>
      <c r="Z345" s="39"/>
      <c r="AA345" s="39"/>
      <c r="AB345" s="39"/>
      <c r="AC345" s="39"/>
      <c r="AD345" s="39"/>
      <c r="AE345" s="39"/>
      <c r="AF345" s="39"/>
      <c r="AG345" s="39"/>
      <c r="AH345" s="39"/>
      <c r="AI345" s="39"/>
      <c r="AJ345" s="423"/>
      <c r="AK345" s="39"/>
      <c r="AL345" s="423"/>
      <c r="AM345" s="39"/>
      <c r="AN345" s="39"/>
      <c r="AO345" s="39"/>
      <c r="AP345" s="39"/>
    </row>
    <row r="346" spans="2:42">
      <c r="B346" s="39"/>
      <c r="C346" s="39"/>
      <c r="D346" s="39"/>
      <c r="E346" s="39"/>
      <c r="F346" s="39"/>
      <c r="G346" s="39"/>
      <c r="H346" s="39"/>
      <c r="I346" s="39"/>
      <c r="J346" s="39"/>
      <c r="K346" s="39"/>
      <c r="L346" s="100"/>
      <c r="N346" s="39"/>
      <c r="O346" s="39"/>
      <c r="P346" s="39"/>
      <c r="Q346" s="39"/>
      <c r="R346" s="39"/>
      <c r="S346" s="39"/>
      <c r="T346" s="39"/>
      <c r="U346" s="39"/>
      <c r="V346" s="39"/>
      <c r="W346" s="39"/>
      <c r="Y346" s="39"/>
      <c r="Z346" s="39"/>
      <c r="AA346" s="39"/>
      <c r="AB346" s="39"/>
      <c r="AC346" s="39"/>
      <c r="AD346" s="39"/>
      <c r="AE346" s="39"/>
      <c r="AF346" s="39"/>
      <c r="AG346" s="39"/>
      <c r="AH346" s="39"/>
      <c r="AI346" s="39"/>
      <c r="AJ346" s="423"/>
      <c r="AK346" s="39"/>
      <c r="AL346" s="423"/>
      <c r="AM346" s="39"/>
      <c r="AN346" s="39"/>
      <c r="AO346" s="39"/>
      <c r="AP346" s="39"/>
    </row>
    <row r="347" spans="2:42">
      <c r="B347" s="39"/>
      <c r="C347" s="39"/>
      <c r="D347" s="39"/>
      <c r="E347" s="39"/>
      <c r="F347" s="39"/>
      <c r="G347" s="39"/>
      <c r="H347" s="39"/>
      <c r="I347" s="39"/>
      <c r="J347" s="39"/>
      <c r="K347" s="39"/>
      <c r="L347" s="100"/>
      <c r="N347" s="39"/>
      <c r="O347" s="39"/>
      <c r="P347" s="39"/>
      <c r="Q347" s="39"/>
      <c r="R347" s="39"/>
      <c r="S347" s="39"/>
      <c r="T347" s="39"/>
      <c r="U347" s="39"/>
      <c r="V347" s="39"/>
      <c r="W347" s="39"/>
      <c r="Y347" s="39"/>
      <c r="Z347" s="39"/>
      <c r="AA347" s="39"/>
      <c r="AB347" s="39"/>
      <c r="AC347" s="39"/>
      <c r="AD347" s="39"/>
      <c r="AE347" s="39"/>
      <c r="AF347" s="39"/>
      <c r="AG347" s="39"/>
      <c r="AH347" s="39"/>
      <c r="AI347" s="39"/>
      <c r="AJ347" s="423"/>
      <c r="AK347" s="39"/>
      <c r="AL347" s="423"/>
      <c r="AM347" s="39"/>
      <c r="AN347" s="39"/>
      <c r="AO347" s="39"/>
      <c r="AP347" s="39"/>
    </row>
    <row r="348" spans="2:42">
      <c r="B348" s="39"/>
      <c r="C348" s="39"/>
      <c r="D348" s="39"/>
      <c r="E348" s="39"/>
      <c r="F348" s="39"/>
      <c r="G348" s="39"/>
      <c r="H348" s="39"/>
      <c r="I348" s="39"/>
      <c r="J348" s="39"/>
      <c r="K348" s="39"/>
      <c r="L348" s="100"/>
      <c r="N348" s="39"/>
      <c r="O348" s="39"/>
      <c r="P348" s="39"/>
      <c r="Q348" s="39"/>
      <c r="R348" s="39"/>
      <c r="S348" s="39"/>
      <c r="T348" s="39"/>
      <c r="U348" s="39"/>
      <c r="V348" s="39"/>
      <c r="W348" s="39"/>
      <c r="Y348" s="39"/>
      <c r="Z348" s="39"/>
      <c r="AA348" s="39"/>
      <c r="AB348" s="39"/>
      <c r="AC348" s="39"/>
      <c r="AD348" s="39"/>
      <c r="AE348" s="39"/>
      <c r="AF348" s="39"/>
      <c r="AG348" s="39"/>
      <c r="AH348" s="39"/>
      <c r="AI348" s="39"/>
      <c r="AJ348" s="423"/>
      <c r="AK348" s="39"/>
      <c r="AL348" s="423"/>
      <c r="AM348" s="39"/>
      <c r="AN348" s="39"/>
      <c r="AO348" s="39"/>
      <c r="AP348" s="39"/>
    </row>
    <row r="349" spans="2:42">
      <c r="B349" s="39"/>
      <c r="C349" s="39"/>
      <c r="D349" s="39"/>
      <c r="E349" s="39"/>
      <c r="F349" s="39"/>
      <c r="G349" s="39"/>
      <c r="H349" s="39"/>
      <c r="I349" s="39"/>
      <c r="J349" s="39"/>
      <c r="K349" s="39"/>
      <c r="L349" s="100"/>
      <c r="N349" s="39"/>
      <c r="O349" s="39"/>
      <c r="P349" s="39"/>
      <c r="Q349" s="39"/>
      <c r="R349" s="39"/>
      <c r="S349" s="39"/>
      <c r="T349" s="39"/>
      <c r="U349" s="39"/>
      <c r="V349" s="39"/>
      <c r="W349" s="39"/>
      <c r="Y349" s="39"/>
      <c r="Z349" s="39"/>
      <c r="AA349" s="39"/>
      <c r="AB349" s="39"/>
      <c r="AC349" s="39"/>
      <c r="AD349" s="39"/>
      <c r="AE349" s="39"/>
      <c r="AF349" s="39"/>
      <c r="AG349" s="39"/>
      <c r="AH349" s="39"/>
      <c r="AI349" s="39"/>
      <c r="AJ349" s="423"/>
      <c r="AK349" s="39"/>
      <c r="AL349" s="423"/>
      <c r="AM349" s="39"/>
      <c r="AN349" s="39"/>
      <c r="AO349" s="39"/>
      <c r="AP349" s="39"/>
    </row>
    <row r="350" spans="2:42">
      <c r="B350" s="39"/>
      <c r="C350" s="39"/>
      <c r="D350" s="39"/>
      <c r="E350" s="39"/>
      <c r="F350" s="39"/>
      <c r="G350" s="39"/>
      <c r="H350" s="39"/>
      <c r="I350" s="39"/>
      <c r="J350" s="39"/>
      <c r="K350" s="39"/>
      <c r="L350" s="100"/>
      <c r="N350" s="39"/>
      <c r="O350" s="39"/>
      <c r="P350" s="39"/>
      <c r="Q350" s="39"/>
      <c r="R350" s="39"/>
      <c r="S350" s="39"/>
      <c r="T350" s="39"/>
      <c r="U350" s="39"/>
      <c r="V350" s="39"/>
      <c r="W350" s="39"/>
      <c r="Y350" s="39"/>
      <c r="Z350" s="39"/>
      <c r="AA350" s="39"/>
      <c r="AB350" s="39"/>
      <c r="AC350" s="39"/>
      <c r="AD350" s="39"/>
      <c r="AE350" s="39"/>
      <c r="AF350" s="39"/>
      <c r="AG350" s="39"/>
      <c r="AH350" s="39"/>
      <c r="AI350" s="39"/>
      <c r="AJ350" s="423"/>
      <c r="AK350" s="39"/>
      <c r="AL350" s="423"/>
      <c r="AM350" s="39"/>
      <c r="AN350" s="39"/>
      <c r="AO350" s="39"/>
      <c r="AP350" s="39"/>
    </row>
    <row r="351" spans="2:42">
      <c r="B351" s="39"/>
      <c r="C351" s="39"/>
      <c r="D351" s="39"/>
      <c r="E351" s="39"/>
      <c r="F351" s="39"/>
      <c r="G351" s="39"/>
      <c r="H351" s="39"/>
      <c r="I351" s="39"/>
      <c r="J351" s="39"/>
      <c r="K351" s="39"/>
      <c r="L351" s="100"/>
      <c r="N351" s="39"/>
      <c r="O351" s="39"/>
      <c r="P351" s="39"/>
      <c r="Q351" s="39"/>
      <c r="R351" s="39"/>
      <c r="S351" s="39"/>
      <c r="T351" s="39"/>
      <c r="U351" s="39"/>
      <c r="V351" s="39"/>
      <c r="W351" s="39"/>
      <c r="Y351" s="39"/>
      <c r="Z351" s="39"/>
      <c r="AA351" s="39"/>
      <c r="AB351" s="39"/>
      <c r="AC351" s="39"/>
      <c r="AD351" s="39"/>
      <c r="AE351" s="39"/>
      <c r="AF351" s="39"/>
      <c r="AG351" s="39"/>
      <c r="AH351" s="39"/>
      <c r="AI351" s="39"/>
      <c r="AJ351" s="423"/>
      <c r="AK351" s="39"/>
      <c r="AL351" s="423"/>
      <c r="AM351" s="39"/>
      <c r="AN351" s="39"/>
      <c r="AO351" s="39"/>
      <c r="AP351" s="39"/>
    </row>
    <row r="352" spans="2:42">
      <c r="B352" s="39"/>
      <c r="C352" s="39"/>
      <c r="D352" s="39"/>
      <c r="E352" s="39"/>
      <c r="F352" s="39"/>
      <c r="G352" s="39"/>
      <c r="H352" s="39"/>
      <c r="I352" s="39"/>
      <c r="J352" s="39"/>
      <c r="K352" s="39"/>
      <c r="L352" s="100"/>
      <c r="N352" s="39"/>
      <c r="O352" s="39"/>
      <c r="P352" s="39"/>
      <c r="Q352" s="39"/>
      <c r="R352" s="39"/>
      <c r="S352" s="39"/>
      <c r="T352" s="39"/>
      <c r="U352" s="39"/>
      <c r="V352" s="39"/>
      <c r="W352" s="39"/>
      <c r="Y352" s="39"/>
      <c r="Z352" s="39"/>
      <c r="AA352" s="39"/>
      <c r="AB352" s="39"/>
      <c r="AC352" s="39"/>
      <c r="AD352" s="39"/>
      <c r="AE352" s="39"/>
      <c r="AF352" s="39"/>
      <c r="AG352" s="39"/>
      <c r="AH352" s="39"/>
      <c r="AI352" s="39"/>
      <c r="AJ352" s="423"/>
      <c r="AK352" s="39"/>
      <c r="AL352" s="423"/>
      <c r="AM352" s="39"/>
      <c r="AN352" s="39"/>
      <c r="AO352" s="39"/>
      <c r="AP352" s="39"/>
    </row>
    <row r="353" spans="2:42">
      <c r="B353" s="39"/>
      <c r="C353" s="39"/>
      <c r="D353" s="39"/>
      <c r="E353" s="39"/>
      <c r="F353" s="39"/>
      <c r="G353" s="39"/>
      <c r="H353" s="39"/>
      <c r="I353" s="39"/>
      <c r="J353" s="39"/>
      <c r="K353" s="39"/>
      <c r="L353" s="100"/>
      <c r="N353" s="39"/>
      <c r="O353" s="39"/>
      <c r="P353" s="39"/>
      <c r="Q353" s="39"/>
      <c r="R353" s="39"/>
      <c r="S353" s="39"/>
      <c r="T353" s="39"/>
      <c r="U353" s="39"/>
      <c r="V353" s="39"/>
      <c r="W353" s="39"/>
      <c r="Y353" s="39"/>
      <c r="Z353" s="39"/>
      <c r="AA353" s="39"/>
      <c r="AB353" s="39"/>
      <c r="AC353" s="39"/>
      <c r="AD353" s="39"/>
      <c r="AE353" s="39"/>
      <c r="AF353" s="39"/>
      <c r="AG353" s="39"/>
      <c r="AH353" s="39"/>
      <c r="AI353" s="39"/>
      <c r="AJ353" s="423"/>
      <c r="AK353" s="39"/>
      <c r="AL353" s="423"/>
      <c r="AM353" s="39"/>
      <c r="AN353" s="39"/>
      <c r="AO353" s="39"/>
      <c r="AP353" s="39"/>
    </row>
    <row r="354" spans="2:42">
      <c r="B354" s="39"/>
      <c r="C354" s="39"/>
      <c r="D354" s="39"/>
      <c r="E354" s="39"/>
      <c r="F354" s="39"/>
      <c r="G354" s="39"/>
      <c r="H354" s="39"/>
      <c r="I354" s="39"/>
      <c r="J354" s="39"/>
      <c r="K354" s="39"/>
      <c r="L354" s="100"/>
      <c r="N354" s="39"/>
      <c r="O354" s="39"/>
      <c r="P354" s="39"/>
      <c r="Q354" s="39"/>
      <c r="R354" s="39"/>
      <c r="S354" s="39"/>
      <c r="T354" s="39"/>
      <c r="U354" s="39"/>
      <c r="V354" s="39"/>
      <c r="W354" s="39"/>
      <c r="Y354" s="39"/>
      <c r="Z354" s="39"/>
      <c r="AA354" s="39"/>
      <c r="AB354" s="39"/>
      <c r="AC354" s="39"/>
      <c r="AD354" s="39"/>
      <c r="AE354" s="39"/>
      <c r="AF354" s="39"/>
      <c r="AG354" s="39"/>
      <c r="AH354" s="39"/>
      <c r="AI354" s="39"/>
      <c r="AJ354" s="423"/>
      <c r="AK354" s="39"/>
      <c r="AL354" s="423"/>
      <c r="AM354" s="39"/>
      <c r="AN354" s="39"/>
      <c r="AO354" s="39"/>
      <c r="AP354" s="39"/>
    </row>
    <row r="355" spans="2:42">
      <c r="B355" s="39"/>
      <c r="C355" s="39"/>
      <c r="D355" s="39"/>
      <c r="E355" s="39"/>
      <c r="F355" s="39"/>
      <c r="G355" s="39"/>
      <c r="H355" s="39"/>
      <c r="I355" s="39"/>
      <c r="J355" s="39"/>
      <c r="K355" s="39"/>
      <c r="L355" s="100"/>
      <c r="N355" s="39"/>
      <c r="O355" s="39"/>
      <c r="P355" s="39"/>
      <c r="Q355" s="39"/>
      <c r="R355" s="39"/>
      <c r="S355" s="39"/>
      <c r="T355" s="39"/>
      <c r="U355" s="39"/>
      <c r="V355" s="39"/>
      <c r="W355" s="39"/>
      <c r="Y355" s="39"/>
      <c r="Z355" s="39"/>
      <c r="AA355" s="39"/>
      <c r="AB355" s="39"/>
      <c r="AC355" s="39"/>
      <c r="AD355" s="39"/>
      <c r="AE355" s="39"/>
      <c r="AF355" s="39"/>
      <c r="AG355" s="39"/>
      <c r="AH355" s="39"/>
      <c r="AI355" s="39"/>
      <c r="AJ355" s="423"/>
      <c r="AK355" s="39"/>
      <c r="AL355" s="423"/>
      <c r="AM355" s="39"/>
      <c r="AN355" s="39"/>
      <c r="AO355" s="39"/>
      <c r="AP355" s="39"/>
    </row>
    <row r="356" spans="2:42">
      <c r="B356" s="39"/>
      <c r="C356" s="39"/>
      <c r="D356" s="39"/>
      <c r="E356" s="39"/>
      <c r="F356" s="39"/>
      <c r="G356" s="39"/>
      <c r="H356" s="39"/>
      <c r="I356" s="39"/>
      <c r="J356" s="39"/>
      <c r="K356" s="39"/>
      <c r="L356" s="100"/>
      <c r="N356" s="39"/>
      <c r="O356" s="39"/>
      <c r="P356" s="39"/>
      <c r="Q356" s="39"/>
      <c r="R356" s="39"/>
      <c r="S356" s="39"/>
      <c r="T356" s="39"/>
      <c r="U356" s="39"/>
      <c r="V356" s="39"/>
      <c r="W356" s="39"/>
      <c r="Y356" s="39"/>
      <c r="Z356" s="39"/>
      <c r="AA356" s="39"/>
      <c r="AB356" s="39"/>
      <c r="AC356" s="39"/>
      <c r="AD356" s="39"/>
      <c r="AE356" s="39"/>
      <c r="AF356" s="39"/>
      <c r="AG356" s="39"/>
      <c r="AH356" s="39"/>
      <c r="AI356" s="39"/>
      <c r="AJ356" s="423"/>
      <c r="AK356" s="39"/>
      <c r="AL356" s="423"/>
      <c r="AM356" s="39"/>
      <c r="AN356" s="39"/>
      <c r="AO356" s="39"/>
      <c r="AP356" s="39"/>
    </row>
    <row r="357" spans="2:42">
      <c r="B357" s="39"/>
      <c r="C357" s="39"/>
      <c r="D357" s="39"/>
      <c r="E357" s="39"/>
      <c r="F357" s="39"/>
      <c r="G357" s="39"/>
      <c r="H357" s="39"/>
      <c r="I357" s="39"/>
      <c r="J357" s="39"/>
      <c r="K357" s="39"/>
      <c r="L357" s="100"/>
      <c r="N357" s="39"/>
      <c r="O357" s="39"/>
      <c r="P357" s="39"/>
      <c r="Q357" s="39"/>
      <c r="R357" s="39"/>
      <c r="S357" s="39"/>
      <c r="T357" s="39"/>
      <c r="U357" s="39"/>
      <c r="V357" s="39"/>
      <c r="W357" s="39"/>
      <c r="Y357" s="39"/>
      <c r="Z357" s="39"/>
      <c r="AA357" s="39"/>
      <c r="AB357" s="39"/>
      <c r="AC357" s="39"/>
      <c r="AD357" s="39"/>
      <c r="AE357" s="39"/>
      <c r="AF357" s="39"/>
      <c r="AG357" s="39"/>
      <c r="AH357" s="39"/>
      <c r="AI357" s="39"/>
      <c r="AJ357" s="423"/>
      <c r="AK357" s="39"/>
      <c r="AL357" s="423"/>
      <c r="AM357" s="39"/>
      <c r="AN357" s="39"/>
      <c r="AO357" s="39"/>
      <c r="AP357" s="39"/>
    </row>
    <row r="358" spans="2:42">
      <c r="B358" s="39"/>
      <c r="C358" s="39"/>
      <c r="D358" s="39"/>
      <c r="E358" s="39"/>
      <c r="F358" s="39"/>
      <c r="G358" s="39"/>
      <c r="H358" s="39"/>
      <c r="I358" s="39"/>
      <c r="J358" s="39"/>
      <c r="K358" s="39"/>
      <c r="L358" s="100"/>
      <c r="N358" s="39"/>
      <c r="O358" s="39"/>
      <c r="P358" s="39"/>
      <c r="Q358" s="39"/>
      <c r="R358" s="39"/>
      <c r="S358" s="39"/>
      <c r="T358" s="39"/>
      <c r="U358" s="39"/>
      <c r="V358" s="39"/>
      <c r="W358" s="39"/>
      <c r="Y358" s="39"/>
      <c r="Z358" s="39"/>
      <c r="AA358" s="39"/>
      <c r="AB358" s="39"/>
      <c r="AC358" s="39"/>
      <c r="AD358" s="39"/>
      <c r="AE358" s="39"/>
      <c r="AF358" s="39"/>
      <c r="AG358" s="39"/>
      <c r="AH358" s="39"/>
      <c r="AI358" s="39"/>
      <c r="AJ358" s="423"/>
      <c r="AK358" s="39"/>
      <c r="AL358" s="423"/>
      <c r="AM358" s="39"/>
      <c r="AN358" s="39"/>
      <c r="AO358" s="39"/>
      <c r="AP358" s="39"/>
    </row>
    <row r="359" spans="2:42">
      <c r="B359" s="39"/>
      <c r="C359" s="39"/>
      <c r="D359" s="39"/>
      <c r="E359" s="39"/>
      <c r="F359" s="39"/>
      <c r="G359" s="39"/>
      <c r="H359" s="39"/>
      <c r="I359" s="39"/>
      <c r="J359" s="39"/>
      <c r="K359" s="39"/>
      <c r="L359" s="100"/>
      <c r="N359" s="39"/>
      <c r="O359" s="39"/>
      <c r="P359" s="39"/>
      <c r="Q359" s="39"/>
      <c r="R359" s="39"/>
      <c r="S359" s="39"/>
      <c r="T359" s="39"/>
      <c r="U359" s="39"/>
      <c r="V359" s="39"/>
      <c r="W359" s="39"/>
      <c r="Y359" s="39"/>
      <c r="Z359" s="39"/>
      <c r="AA359" s="39"/>
      <c r="AB359" s="39"/>
      <c r="AC359" s="39"/>
      <c r="AD359" s="39"/>
      <c r="AE359" s="39"/>
      <c r="AF359" s="39"/>
      <c r="AG359" s="39"/>
      <c r="AH359" s="39"/>
      <c r="AI359" s="39"/>
      <c r="AJ359" s="423"/>
      <c r="AK359" s="39"/>
      <c r="AL359" s="423"/>
      <c r="AM359" s="39"/>
      <c r="AN359" s="39"/>
      <c r="AO359" s="39"/>
      <c r="AP359" s="39"/>
    </row>
    <row r="360" spans="2:42">
      <c r="B360" s="39"/>
      <c r="C360" s="39"/>
      <c r="D360" s="39"/>
      <c r="E360" s="39"/>
      <c r="F360" s="39"/>
      <c r="G360" s="39"/>
      <c r="H360" s="39"/>
      <c r="I360" s="39"/>
      <c r="J360" s="39"/>
      <c r="K360" s="39"/>
      <c r="L360" s="100"/>
      <c r="N360" s="39"/>
      <c r="O360" s="39"/>
      <c r="P360" s="39"/>
      <c r="Q360" s="39"/>
      <c r="R360" s="39"/>
      <c r="S360" s="39"/>
      <c r="T360" s="39"/>
      <c r="U360" s="39"/>
      <c r="V360" s="39"/>
      <c r="W360" s="39"/>
      <c r="Y360" s="39"/>
      <c r="Z360" s="39"/>
      <c r="AA360" s="39"/>
      <c r="AB360" s="39"/>
      <c r="AC360" s="39"/>
      <c r="AD360" s="39"/>
      <c r="AE360" s="39"/>
      <c r="AF360" s="39"/>
      <c r="AG360" s="39"/>
      <c r="AH360" s="39"/>
      <c r="AI360" s="39"/>
      <c r="AJ360" s="423"/>
      <c r="AK360" s="39"/>
      <c r="AL360" s="423"/>
      <c r="AM360" s="39"/>
      <c r="AN360" s="39"/>
      <c r="AO360" s="39"/>
      <c r="AP360" s="39"/>
    </row>
    <row r="361" spans="2:42">
      <c r="B361" s="39"/>
      <c r="C361" s="39"/>
      <c r="D361" s="39"/>
      <c r="E361" s="39"/>
      <c r="F361" s="39"/>
      <c r="G361" s="39"/>
      <c r="H361" s="39"/>
      <c r="I361" s="39"/>
      <c r="J361" s="39"/>
      <c r="K361" s="39"/>
      <c r="L361" s="100"/>
      <c r="N361" s="39"/>
      <c r="O361" s="39"/>
      <c r="P361" s="39"/>
      <c r="Q361" s="39"/>
      <c r="R361" s="39"/>
      <c r="S361" s="39"/>
      <c r="T361" s="39"/>
      <c r="U361" s="39"/>
      <c r="V361" s="39"/>
      <c r="W361" s="39"/>
      <c r="Y361" s="39"/>
      <c r="Z361" s="39"/>
      <c r="AA361" s="39"/>
      <c r="AB361" s="39"/>
      <c r="AC361" s="39"/>
      <c r="AD361" s="39"/>
      <c r="AE361" s="39"/>
      <c r="AF361" s="39"/>
      <c r="AG361" s="39"/>
      <c r="AH361" s="39"/>
      <c r="AI361" s="39"/>
      <c r="AJ361" s="423"/>
      <c r="AK361" s="39"/>
      <c r="AL361" s="423"/>
      <c r="AM361" s="39"/>
      <c r="AN361" s="39"/>
      <c r="AO361" s="39"/>
      <c r="AP361" s="39"/>
    </row>
    <row r="362" spans="2:42">
      <c r="B362" s="39"/>
      <c r="C362" s="39"/>
      <c r="D362" s="39"/>
      <c r="E362" s="39"/>
      <c r="F362" s="39"/>
      <c r="G362" s="39"/>
      <c r="H362" s="39"/>
      <c r="I362" s="39"/>
      <c r="J362" s="39"/>
      <c r="K362" s="39"/>
      <c r="L362" s="100"/>
      <c r="N362" s="39"/>
      <c r="O362" s="39"/>
      <c r="P362" s="39"/>
      <c r="Q362" s="39"/>
      <c r="R362" s="39"/>
      <c r="S362" s="39"/>
      <c r="T362" s="39"/>
      <c r="U362" s="39"/>
      <c r="V362" s="39"/>
      <c r="W362" s="39"/>
      <c r="Y362" s="39"/>
      <c r="Z362" s="39"/>
      <c r="AA362" s="39"/>
      <c r="AB362" s="39"/>
      <c r="AC362" s="39"/>
      <c r="AD362" s="39"/>
      <c r="AE362" s="39"/>
      <c r="AF362" s="39"/>
      <c r="AG362" s="39"/>
      <c r="AH362" s="39"/>
      <c r="AI362" s="39"/>
      <c r="AJ362" s="423"/>
      <c r="AK362" s="39"/>
      <c r="AL362" s="423"/>
      <c r="AM362" s="39"/>
      <c r="AN362" s="39"/>
      <c r="AO362" s="39"/>
      <c r="AP362" s="39"/>
    </row>
    <row r="363" spans="2:42">
      <c r="B363" s="39"/>
      <c r="C363" s="39"/>
      <c r="D363" s="39"/>
      <c r="E363" s="39"/>
      <c r="F363" s="39"/>
      <c r="G363" s="39"/>
      <c r="H363" s="39"/>
      <c r="I363" s="39"/>
      <c r="J363" s="39"/>
      <c r="K363" s="39"/>
      <c r="L363" s="100"/>
      <c r="N363" s="39"/>
      <c r="O363" s="39"/>
      <c r="P363" s="39"/>
      <c r="Q363" s="39"/>
      <c r="R363" s="39"/>
      <c r="S363" s="39"/>
      <c r="T363" s="39"/>
      <c r="U363" s="39"/>
      <c r="V363" s="39"/>
      <c r="W363" s="39"/>
      <c r="Y363" s="39"/>
      <c r="Z363" s="39"/>
      <c r="AA363" s="39"/>
      <c r="AB363" s="39"/>
      <c r="AC363" s="39"/>
      <c r="AD363" s="39"/>
      <c r="AE363" s="39"/>
      <c r="AF363" s="39"/>
      <c r="AG363" s="39"/>
      <c r="AH363" s="39"/>
      <c r="AI363" s="39"/>
      <c r="AJ363" s="423"/>
      <c r="AK363" s="39"/>
      <c r="AL363" s="423"/>
      <c r="AM363" s="39"/>
      <c r="AN363" s="39"/>
      <c r="AO363" s="39"/>
      <c r="AP363" s="39"/>
    </row>
    <row r="364" spans="2:42">
      <c r="B364" s="39"/>
      <c r="C364" s="39"/>
      <c r="D364" s="39"/>
      <c r="E364" s="39"/>
      <c r="F364" s="39"/>
      <c r="G364" s="39"/>
      <c r="H364" s="39"/>
      <c r="I364" s="39"/>
      <c r="J364" s="39"/>
      <c r="K364" s="39"/>
      <c r="L364" s="100"/>
      <c r="N364" s="39"/>
      <c r="O364" s="39"/>
      <c r="P364" s="39"/>
      <c r="Q364" s="39"/>
      <c r="R364" s="39"/>
      <c r="S364" s="39"/>
      <c r="T364" s="39"/>
      <c r="U364" s="39"/>
      <c r="V364" s="39"/>
      <c r="W364" s="39"/>
      <c r="Y364" s="39"/>
      <c r="Z364" s="39"/>
      <c r="AA364" s="39"/>
      <c r="AB364" s="39"/>
      <c r="AC364" s="39"/>
      <c r="AD364" s="39"/>
      <c r="AE364" s="39"/>
      <c r="AF364" s="39"/>
      <c r="AG364" s="39"/>
      <c r="AH364" s="39"/>
      <c r="AI364" s="39"/>
      <c r="AJ364" s="423"/>
      <c r="AK364" s="39"/>
      <c r="AL364" s="423"/>
      <c r="AM364" s="39"/>
      <c r="AN364" s="39"/>
      <c r="AO364" s="39"/>
      <c r="AP364" s="39"/>
    </row>
    <row r="365" spans="2:42">
      <c r="B365" s="39"/>
      <c r="C365" s="39"/>
      <c r="D365" s="39"/>
      <c r="E365" s="39"/>
      <c r="F365" s="39"/>
      <c r="G365" s="39"/>
      <c r="H365" s="39"/>
      <c r="I365" s="39"/>
      <c r="J365" s="39"/>
      <c r="K365" s="39"/>
      <c r="L365" s="100"/>
      <c r="N365" s="39"/>
      <c r="O365" s="39"/>
      <c r="P365" s="39"/>
      <c r="Q365" s="39"/>
      <c r="R365" s="39"/>
      <c r="S365" s="39"/>
      <c r="T365" s="39"/>
      <c r="U365" s="39"/>
      <c r="V365" s="39"/>
      <c r="W365" s="39"/>
      <c r="Y365" s="39"/>
      <c r="Z365" s="39"/>
      <c r="AA365" s="39"/>
      <c r="AB365" s="39"/>
      <c r="AC365" s="39"/>
      <c r="AD365" s="39"/>
      <c r="AE365" s="39"/>
      <c r="AF365" s="39"/>
      <c r="AG365" s="39"/>
      <c r="AH365" s="39"/>
      <c r="AI365" s="39"/>
      <c r="AJ365" s="423"/>
      <c r="AK365" s="39"/>
      <c r="AL365" s="423"/>
      <c r="AM365" s="39"/>
      <c r="AN365" s="39"/>
      <c r="AO365" s="39"/>
      <c r="AP365" s="39"/>
    </row>
    <row r="366" spans="2:42">
      <c r="B366" s="39"/>
      <c r="C366" s="39"/>
      <c r="D366" s="39"/>
      <c r="E366" s="39"/>
      <c r="F366" s="39"/>
      <c r="G366" s="39"/>
      <c r="H366" s="39"/>
      <c r="I366" s="39"/>
      <c r="J366" s="39"/>
      <c r="K366" s="39"/>
      <c r="L366" s="100"/>
      <c r="N366" s="39"/>
      <c r="O366" s="39"/>
      <c r="P366" s="39"/>
      <c r="Q366" s="39"/>
      <c r="R366" s="39"/>
      <c r="S366" s="39"/>
      <c r="T366" s="39"/>
      <c r="U366" s="39"/>
      <c r="V366" s="39"/>
      <c r="W366" s="39"/>
      <c r="Y366" s="39"/>
      <c r="Z366" s="39"/>
      <c r="AA366" s="39"/>
      <c r="AB366" s="39"/>
      <c r="AC366" s="39"/>
      <c r="AD366" s="39"/>
      <c r="AE366" s="39"/>
      <c r="AF366" s="39"/>
      <c r="AG366" s="39"/>
      <c r="AH366" s="39"/>
      <c r="AI366" s="39"/>
      <c r="AJ366" s="423"/>
      <c r="AK366" s="39"/>
      <c r="AL366" s="423"/>
      <c r="AM366" s="39"/>
      <c r="AN366" s="39"/>
      <c r="AO366" s="39"/>
      <c r="AP366" s="39"/>
    </row>
    <row r="367" spans="2:42">
      <c r="B367" s="39"/>
      <c r="C367" s="39"/>
      <c r="D367" s="39"/>
      <c r="E367" s="39"/>
      <c r="F367" s="39"/>
      <c r="G367" s="39"/>
      <c r="H367" s="39"/>
      <c r="I367" s="39"/>
      <c r="J367" s="39"/>
      <c r="K367" s="39"/>
      <c r="L367" s="100"/>
      <c r="N367" s="39"/>
      <c r="O367" s="39"/>
      <c r="P367" s="39"/>
      <c r="Q367" s="39"/>
      <c r="R367" s="39"/>
      <c r="S367" s="39"/>
      <c r="T367" s="39"/>
      <c r="U367" s="39"/>
      <c r="V367" s="39"/>
      <c r="W367" s="39"/>
      <c r="Y367" s="39"/>
      <c r="Z367" s="39"/>
      <c r="AA367" s="39"/>
      <c r="AB367" s="39"/>
      <c r="AC367" s="39"/>
      <c r="AD367" s="39"/>
      <c r="AE367" s="39"/>
      <c r="AF367" s="39"/>
      <c r="AG367" s="39"/>
      <c r="AH367" s="39"/>
      <c r="AI367" s="39"/>
      <c r="AJ367" s="423"/>
      <c r="AK367" s="39"/>
      <c r="AL367" s="423"/>
      <c r="AM367" s="39"/>
      <c r="AN367" s="39"/>
      <c r="AO367" s="39"/>
      <c r="AP367" s="39"/>
    </row>
    <row r="368" spans="2:42">
      <c r="B368" s="39"/>
      <c r="C368" s="39"/>
      <c r="D368" s="39"/>
      <c r="E368" s="39"/>
      <c r="F368" s="39"/>
      <c r="G368" s="39"/>
      <c r="H368" s="39"/>
      <c r="I368" s="39"/>
      <c r="J368" s="39"/>
      <c r="K368" s="39"/>
      <c r="L368" s="100"/>
      <c r="N368" s="39"/>
      <c r="O368" s="39"/>
      <c r="P368" s="39"/>
      <c r="Q368" s="39"/>
      <c r="R368" s="39"/>
      <c r="S368" s="39"/>
      <c r="T368" s="39"/>
      <c r="U368" s="39"/>
      <c r="V368" s="39"/>
      <c r="W368" s="39"/>
      <c r="Y368" s="39"/>
      <c r="Z368" s="39"/>
      <c r="AA368" s="39"/>
      <c r="AB368" s="39"/>
      <c r="AC368" s="39"/>
      <c r="AD368" s="39"/>
      <c r="AE368" s="39"/>
      <c r="AF368" s="39"/>
      <c r="AG368" s="39"/>
      <c r="AH368" s="39"/>
      <c r="AI368" s="39"/>
      <c r="AJ368" s="423"/>
      <c r="AK368" s="39"/>
      <c r="AL368" s="423"/>
      <c r="AM368" s="39"/>
      <c r="AN368" s="39"/>
      <c r="AO368" s="39"/>
      <c r="AP368" s="39"/>
    </row>
    <row r="369" spans="2:42">
      <c r="B369" s="39"/>
      <c r="C369" s="39"/>
      <c r="D369" s="39"/>
      <c r="E369" s="39"/>
      <c r="F369" s="39"/>
      <c r="G369" s="39"/>
      <c r="H369" s="39"/>
      <c r="I369" s="39"/>
      <c r="J369" s="39"/>
      <c r="K369" s="39"/>
      <c r="L369" s="100"/>
      <c r="N369" s="39"/>
      <c r="O369" s="39"/>
      <c r="P369" s="39"/>
      <c r="Q369" s="39"/>
      <c r="R369" s="39"/>
      <c r="S369" s="39"/>
      <c r="T369" s="39"/>
      <c r="U369" s="39"/>
      <c r="V369" s="39"/>
      <c r="W369" s="39"/>
      <c r="Y369" s="39"/>
      <c r="Z369" s="39"/>
      <c r="AA369" s="39"/>
      <c r="AB369" s="39"/>
      <c r="AC369" s="39"/>
      <c r="AD369" s="39"/>
      <c r="AE369" s="39"/>
      <c r="AF369" s="39"/>
      <c r="AG369" s="39"/>
      <c r="AH369" s="39"/>
      <c r="AI369" s="39"/>
      <c r="AJ369" s="423"/>
      <c r="AK369" s="39"/>
      <c r="AL369" s="423"/>
      <c r="AM369" s="39"/>
      <c r="AN369" s="39"/>
      <c r="AO369" s="39"/>
      <c r="AP369" s="39"/>
    </row>
    <row r="370" spans="2:42">
      <c r="B370" s="39"/>
      <c r="C370" s="39"/>
      <c r="D370" s="39"/>
      <c r="E370" s="39"/>
      <c r="F370" s="39"/>
      <c r="G370" s="39"/>
      <c r="H370" s="39"/>
      <c r="I370" s="39"/>
      <c r="J370" s="39"/>
      <c r="K370" s="39"/>
      <c r="L370" s="100"/>
      <c r="N370" s="39"/>
      <c r="O370" s="39"/>
      <c r="P370" s="39"/>
      <c r="Q370" s="39"/>
      <c r="R370" s="39"/>
      <c r="S370" s="39"/>
      <c r="T370" s="39"/>
      <c r="U370" s="39"/>
      <c r="V370" s="39"/>
      <c r="W370" s="39"/>
      <c r="Y370" s="39"/>
      <c r="Z370" s="39"/>
      <c r="AA370" s="39"/>
      <c r="AB370" s="39"/>
      <c r="AC370" s="39"/>
      <c r="AD370" s="39"/>
      <c r="AE370" s="39"/>
      <c r="AF370" s="39"/>
      <c r="AG370" s="39"/>
      <c r="AH370" s="39"/>
      <c r="AI370" s="39"/>
      <c r="AJ370" s="423"/>
      <c r="AK370" s="39"/>
      <c r="AL370" s="423"/>
      <c r="AM370" s="39"/>
      <c r="AN370" s="39"/>
      <c r="AO370" s="39"/>
      <c r="AP370" s="39"/>
    </row>
    <row r="371" spans="2:42">
      <c r="B371" s="39"/>
      <c r="C371" s="39"/>
      <c r="D371" s="39"/>
      <c r="E371" s="39"/>
      <c r="F371" s="39"/>
      <c r="G371" s="39"/>
      <c r="H371" s="39"/>
      <c r="I371" s="39"/>
      <c r="J371" s="39"/>
      <c r="K371" s="39"/>
      <c r="L371" s="100"/>
      <c r="N371" s="39"/>
      <c r="O371" s="39"/>
      <c r="P371" s="39"/>
      <c r="Q371" s="39"/>
      <c r="R371" s="39"/>
      <c r="S371" s="39"/>
      <c r="T371" s="39"/>
      <c r="U371" s="39"/>
      <c r="V371" s="39"/>
      <c r="W371" s="39"/>
      <c r="Y371" s="39"/>
      <c r="Z371" s="39"/>
      <c r="AA371" s="39"/>
      <c r="AB371" s="39"/>
      <c r="AC371" s="39"/>
      <c r="AD371" s="39"/>
      <c r="AE371" s="39"/>
      <c r="AF371" s="39"/>
      <c r="AG371" s="39"/>
      <c r="AH371" s="39"/>
      <c r="AI371" s="39"/>
      <c r="AJ371" s="423"/>
      <c r="AK371" s="39"/>
      <c r="AL371" s="423"/>
      <c r="AM371" s="39"/>
      <c r="AN371" s="39"/>
      <c r="AO371" s="39"/>
      <c r="AP371" s="39"/>
    </row>
    <row r="372" spans="2:42">
      <c r="B372" s="39"/>
      <c r="C372" s="39"/>
      <c r="D372" s="39"/>
      <c r="E372" s="39"/>
      <c r="F372" s="39"/>
      <c r="G372" s="39"/>
      <c r="H372" s="39"/>
      <c r="I372" s="39"/>
      <c r="J372" s="39"/>
      <c r="K372" s="39"/>
      <c r="L372" s="100"/>
      <c r="N372" s="39"/>
      <c r="O372" s="39"/>
      <c r="P372" s="39"/>
      <c r="Q372" s="39"/>
      <c r="R372" s="39"/>
      <c r="S372" s="39"/>
      <c r="T372" s="39"/>
      <c r="U372" s="39"/>
      <c r="V372" s="39"/>
      <c r="W372" s="39"/>
      <c r="Y372" s="39"/>
      <c r="Z372" s="39"/>
      <c r="AA372" s="39"/>
      <c r="AB372" s="39"/>
      <c r="AC372" s="39"/>
      <c r="AD372" s="39"/>
      <c r="AE372" s="39"/>
      <c r="AF372" s="39"/>
      <c r="AG372" s="39"/>
      <c r="AH372" s="39"/>
      <c r="AI372" s="39"/>
      <c r="AJ372" s="423"/>
      <c r="AK372" s="39"/>
      <c r="AL372" s="423"/>
      <c r="AM372" s="39"/>
      <c r="AN372" s="39"/>
      <c r="AO372" s="39"/>
      <c r="AP372" s="39"/>
    </row>
    <row r="373" spans="2:42">
      <c r="B373" s="39"/>
      <c r="C373" s="39"/>
      <c r="D373" s="39"/>
      <c r="E373" s="39"/>
      <c r="F373" s="39"/>
      <c r="G373" s="39"/>
      <c r="H373" s="39"/>
      <c r="I373" s="39"/>
      <c r="J373" s="39"/>
      <c r="K373" s="39"/>
      <c r="L373" s="100"/>
      <c r="N373" s="39"/>
      <c r="O373" s="39"/>
      <c r="P373" s="39"/>
      <c r="Q373" s="39"/>
      <c r="R373" s="39"/>
      <c r="S373" s="39"/>
      <c r="T373" s="39"/>
      <c r="U373" s="39"/>
      <c r="V373" s="39"/>
      <c r="W373" s="39"/>
      <c r="Y373" s="39"/>
      <c r="Z373" s="39"/>
      <c r="AA373" s="39"/>
      <c r="AB373" s="39"/>
      <c r="AC373" s="39"/>
      <c r="AD373" s="39"/>
      <c r="AE373" s="39"/>
      <c r="AF373" s="39"/>
      <c r="AG373" s="39"/>
      <c r="AH373" s="39"/>
      <c r="AI373" s="39"/>
      <c r="AJ373" s="423"/>
      <c r="AK373" s="39"/>
      <c r="AL373" s="423"/>
      <c r="AM373" s="39"/>
      <c r="AN373" s="39"/>
      <c r="AO373" s="39"/>
      <c r="AP373" s="39"/>
    </row>
    <row r="374" spans="2:42">
      <c r="B374" s="39"/>
      <c r="C374" s="39"/>
      <c r="D374" s="39"/>
      <c r="E374" s="39"/>
      <c r="F374" s="39"/>
      <c r="G374" s="39"/>
      <c r="H374" s="39"/>
      <c r="I374" s="39"/>
      <c r="J374" s="39"/>
      <c r="K374" s="39"/>
      <c r="L374" s="100"/>
      <c r="N374" s="39"/>
      <c r="O374" s="39"/>
      <c r="P374" s="39"/>
      <c r="Q374" s="39"/>
      <c r="R374" s="39"/>
      <c r="S374" s="39"/>
      <c r="T374" s="39"/>
      <c r="U374" s="39"/>
      <c r="V374" s="39"/>
      <c r="W374" s="39"/>
      <c r="Y374" s="39"/>
      <c r="Z374" s="39"/>
      <c r="AA374" s="39"/>
      <c r="AB374" s="39"/>
      <c r="AC374" s="39"/>
      <c r="AD374" s="39"/>
      <c r="AE374" s="39"/>
      <c r="AF374" s="39"/>
      <c r="AG374" s="39"/>
      <c r="AH374" s="39"/>
      <c r="AI374" s="39"/>
      <c r="AJ374" s="423"/>
      <c r="AK374" s="39"/>
      <c r="AL374" s="423"/>
      <c r="AM374" s="39"/>
      <c r="AN374" s="39"/>
      <c r="AO374" s="39"/>
      <c r="AP374" s="39"/>
    </row>
    <row r="375" spans="2:42">
      <c r="B375" s="39"/>
      <c r="C375" s="39"/>
      <c r="D375" s="39"/>
      <c r="E375" s="39"/>
      <c r="F375" s="39"/>
      <c r="G375" s="39"/>
      <c r="H375" s="39"/>
      <c r="I375" s="39"/>
      <c r="J375" s="39"/>
      <c r="K375" s="39"/>
      <c r="L375" s="100"/>
      <c r="N375" s="39"/>
      <c r="O375" s="39"/>
      <c r="P375" s="39"/>
      <c r="Q375" s="39"/>
      <c r="R375" s="39"/>
      <c r="S375" s="39"/>
      <c r="T375" s="39"/>
      <c r="U375" s="39"/>
      <c r="V375" s="39"/>
      <c r="W375" s="39"/>
      <c r="Y375" s="39"/>
      <c r="Z375" s="39"/>
      <c r="AA375" s="39"/>
      <c r="AB375" s="39"/>
      <c r="AC375" s="39"/>
      <c r="AD375" s="39"/>
      <c r="AE375" s="39"/>
      <c r="AF375" s="39"/>
      <c r="AG375" s="39"/>
      <c r="AH375" s="39"/>
      <c r="AI375" s="39"/>
      <c r="AJ375" s="423"/>
      <c r="AK375" s="39"/>
      <c r="AL375" s="423"/>
      <c r="AM375" s="39"/>
      <c r="AN375" s="39"/>
      <c r="AO375" s="39"/>
      <c r="AP375" s="39"/>
    </row>
    <row r="376" spans="2:42">
      <c r="B376" s="39"/>
      <c r="C376" s="39"/>
      <c r="D376" s="39"/>
      <c r="E376" s="39"/>
      <c r="F376" s="39"/>
      <c r="G376" s="39"/>
      <c r="H376" s="39"/>
      <c r="I376" s="39"/>
      <c r="J376" s="39"/>
      <c r="K376" s="39"/>
      <c r="L376" s="100"/>
      <c r="N376" s="39"/>
      <c r="O376" s="39"/>
      <c r="P376" s="39"/>
      <c r="Q376" s="39"/>
      <c r="R376" s="39"/>
      <c r="S376" s="39"/>
      <c r="T376" s="39"/>
      <c r="U376" s="39"/>
      <c r="V376" s="39"/>
      <c r="W376" s="39"/>
      <c r="Y376" s="39"/>
      <c r="Z376" s="39"/>
      <c r="AA376" s="39"/>
      <c r="AB376" s="39"/>
      <c r="AC376" s="39"/>
      <c r="AD376" s="39"/>
      <c r="AE376" s="39"/>
      <c r="AF376" s="39"/>
      <c r="AG376" s="39"/>
      <c r="AH376" s="39"/>
      <c r="AI376" s="39"/>
      <c r="AJ376" s="423"/>
      <c r="AK376" s="39"/>
      <c r="AL376" s="423"/>
      <c r="AM376" s="39"/>
      <c r="AN376" s="39"/>
      <c r="AO376" s="39"/>
      <c r="AP376" s="39"/>
    </row>
    <row r="377" spans="2:42">
      <c r="B377" s="39"/>
      <c r="C377" s="39"/>
      <c r="D377" s="39"/>
      <c r="E377" s="39"/>
      <c r="F377" s="39"/>
      <c r="G377" s="39"/>
      <c r="H377" s="39"/>
      <c r="I377" s="39"/>
      <c r="J377" s="39"/>
      <c r="K377" s="39"/>
      <c r="L377" s="100"/>
      <c r="N377" s="39"/>
      <c r="O377" s="39"/>
      <c r="P377" s="39"/>
      <c r="Q377" s="39"/>
      <c r="R377" s="39"/>
      <c r="S377" s="39"/>
      <c r="T377" s="39"/>
      <c r="U377" s="39"/>
      <c r="V377" s="39"/>
      <c r="W377" s="39"/>
      <c r="Y377" s="39"/>
      <c r="Z377" s="39"/>
      <c r="AA377" s="39"/>
      <c r="AB377" s="39"/>
      <c r="AC377" s="39"/>
      <c r="AD377" s="39"/>
      <c r="AE377" s="39"/>
      <c r="AF377" s="39"/>
      <c r="AG377" s="39"/>
      <c r="AH377" s="39"/>
      <c r="AI377" s="39"/>
      <c r="AJ377" s="423"/>
      <c r="AK377" s="39"/>
      <c r="AL377" s="423"/>
      <c r="AM377" s="39"/>
      <c r="AN377" s="39"/>
      <c r="AO377" s="39"/>
      <c r="AP377" s="39"/>
    </row>
    <row r="378" spans="2:42">
      <c r="B378" s="39"/>
      <c r="C378" s="39"/>
      <c r="D378" s="39"/>
      <c r="E378" s="39"/>
      <c r="F378" s="39"/>
      <c r="G378" s="39"/>
      <c r="H378" s="39"/>
      <c r="I378" s="39"/>
      <c r="J378" s="39"/>
      <c r="K378" s="39"/>
      <c r="L378" s="100"/>
      <c r="N378" s="39"/>
      <c r="O378" s="39"/>
      <c r="P378" s="39"/>
      <c r="Q378" s="39"/>
      <c r="R378" s="39"/>
      <c r="S378" s="39"/>
      <c r="T378" s="39"/>
      <c r="U378" s="39"/>
      <c r="V378" s="39"/>
      <c r="W378" s="39"/>
      <c r="Y378" s="39"/>
      <c r="Z378" s="39"/>
      <c r="AA378" s="39"/>
      <c r="AB378" s="39"/>
      <c r="AC378" s="39"/>
      <c r="AD378" s="39"/>
      <c r="AE378" s="39"/>
      <c r="AF378" s="39"/>
      <c r="AG378" s="39"/>
      <c r="AH378" s="39"/>
      <c r="AI378" s="39"/>
      <c r="AJ378" s="423"/>
      <c r="AK378" s="39"/>
      <c r="AL378" s="423"/>
      <c r="AM378" s="39"/>
      <c r="AN378" s="39"/>
      <c r="AO378" s="39"/>
      <c r="AP378" s="39"/>
    </row>
    <row r="379" spans="2:42">
      <c r="B379" s="39"/>
      <c r="C379" s="39"/>
      <c r="D379" s="39"/>
      <c r="E379" s="39"/>
      <c r="F379" s="39"/>
      <c r="G379" s="39"/>
      <c r="H379" s="39"/>
      <c r="I379" s="39"/>
      <c r="J379" s="39"/>
      <c r="K379" s="39"/>
      <c r="L379" s="100"/>
      <c r="N379" s="39"/>
      <c r="O379" s="39"/>
      <c r="P379" s="39"/>
      <c r="Q379" s="39"/>
      <c r="R379" s="39"/>
      <c r="S379" s="39"/>
      <c r="T379" s="39"/>
      <c r="U379" s="39"/>
      <c r="V379" s="39"/>
      <c r="W379" s="39"/>
      <c r="Y379" s="39"/>
      <c r="Z379" s="39"/>
      <c r="AA379" s="39"/>
      <c r="AB379" s="39"/>
      <c r="AC379" s="39"/>
      <c r="AD379" s="39"/>
      <c r="AE379" s="39"/>
      <c r="AF379" s="39"/>
      <c r="AG379" s="39"/>
      <c r="AH379" s="39"/>
      <c r="AI379" s="39"/>
      <c r="AJ379" s="423"/>
      <c r="AK379" s="39"/>
      <c r="AL379" s="423"/>
      <c r="AM379" s="39"/>
      <c r="AN379" s="39"/>
      <c r="AO379" s="39"/>
      <c r="AP379" s="39"/>
    </row>
    <row r="380" spans="2:42">
      <c r="B380" s="39"/>
      <c r="C380" s="39"/>
      <c r="D380" s="39"/>
      <c r="E380" s="39"/>
      <c r="F380" s="39"/>
      <c r="G380" s="39"/>
      <c r="H380" s="39"/>
      <c r="I380" s="39"/>
      <c r="J380" s="39"/>
      <c r="K380" s="39"/>
      <c r="L380" s="100"/>
      <c r="N380" s="39"/>
      <c r="O380" s="39"/>
      <c r="P380" s="39"/>
      <c r="Q380" s="39"/>
      <c r="R380" s="39"/>
      <c r="S380" s="39"/>
      <c r="T380" s="39"/>
      <c r="U380" s="39"/>
      <c r="V380" s="39"/>
      <c r="W380" s="39"/>
      <c r="Y380" s="39"/>
      <c r="Z380" s="39"/>
      <c r="AA380" s="39"/>
      <c r="AB380" s="39"/>
      <c r="AC380" s="39"/>
      <c r="AD380" s="39"/>
      <c r="AE380" s="39"/>
      <c r="AF380" s="39"/>
      <c r="AG380" s="39"/>
      <c r="AH380" s="39"/>
      <c r="AI380" s="39"/>
      <c r="AJ380" s="423"/>
      <c r="AK380" s="39"/>
      <c r="AL380" s="423"/>
      <c r="AM380" s="39"/>
      <c r="AN380" s="39"/>
      <c r="AO380" s="39"/>
      <c r="AP380" s="39"/>
    </row>
    <row r="381" spans="2:42">
      <c r="B381" s="39"/>
      <c r="C381" s="39"/>
      <c r="D381" s="39"/>
      <c r="E381" s="39"/>
      <c r="F381" s="39"/>
      <c r="G381" s="39"/>
      <c r="H381" s="39"/>
      <c r="I381" s="39"/>
      <c r="J381" s="39"/>
      <c r="K381" s="39"/>
      <c r="L381" s="100"/>
      <c r="N381" s="39"/>
      <c r="O381" s="39"/>
      <c r="P381" s="39"/>
      <c r="Q381" s="39"/>
      <c r="R381" s="39"/>
      <c r="S381" s="39"/>
      <c r="T381" s="39"/>
      <c r="U381" s="39"/>
      <c r="V381" s="39"/>
      <c r="W381" s="39"/>
      <c r="Y381" s="39"/>
      <c r="Z381" s="39"/>
      <c r="AA381" s="39"/>
      <c r="AB381" s="39"/>
      <c r="AC381" s="39"/>
      <c r="AD381" s="39"/>
      <c r="AE381" s="39"/>
      <c r="AF381" s="39"/>
      <c r="AG381" s="39"/>
      <c r="AH381" s="39"/>
      <c r="AI381" s="39"/>
      <c r="AJ381" s="423"/>
      <c r="AK381" s="39"/>
      <c r="AL381" s="423"/>
      <c r="AM381" s="39"/>
      <c r="AN381" s="39"/>
      <c r="AO381" s="39"/>
      <c r="AP381" s="39"/>
    </row>
    <row r="382" spans="2:42">
      <c r="B382" s="39"/>
      <c r="C382" s="39"/>
      <c r="D382" s="39"/>
      <c r="E382" s="39"/>
      <c r="F382" s="39"/>
      <c r="G382" s="39"/>
      <c r="H382" s="39"/>
      <c r="I382" s="39"/>
      <c r="J382" s="39"/>
      <c r="K382" s="39"/>
      <c r="L382" s="100"/>
      <c r="N382" s="39"/>
      <c r="O382" s="39"/>
      <c r="P382" s="39"/>
      <c r="Q382" s="39"/>
      <c r="R382" s="39"/>
      <c r="S382" s="39"/>
      <c r="T382" s="39"/>
      <c r="U382" s="39"/>
      <c r="V382" s="39"/>
      <c r="W382" s="39"/>
      <c r="Y382" s="39"/>
      <c r="Z382" s="39"/>
      <c r="AA382" s="39"/>
      <c r="AB382" s="39"/>
      <c r="AC382" s="39"/>
      <c r="AD382" s="39"/>
      <c r="AE382" s="39"/>
      <c r="AF382" s="39"/>
      <c r="AG382" s="39"/>
      <c r="AH382" s="39"/>
      <c r="AI382" s="39"/>
      <c r="AJ382" s="423"/>
      <c r="AK382" s="39"/>
      <c r="AL382" s="423"/>
      <c r="AM382" s="39"/>
      <c r="AN382" s="39"/>
      <c r="AO382" s="39"/>
      <c r="AP382" s="39"/>
    </row>
    <row r="383" spans="2:42">
      <c r="B383" s="39"/>
      <c r="C383" s="39"/>
      <c r="D383" s="39"/>
      <c r="E383" s="39"/>
      <c r="F383" s="39"/>
      <c r="G383" s="39"/>
      <c r="H383" s="39"/>
      <c r="I383" s="39"/>
      <c r="J383" s="39"/>
      <c r="K383" s="39"/>
      <c r="L383" s="100"/>
      <c r="N383" s="39"/>
      <c r="O383" s="39"/>
      <c r="P383" s="39"/>
      <c r="Q383" s="39"/>
      <c r="R383" s="39"/>
      <c r="S383" s="39"/>
      <c r="T383" s="39"/>
      <c r="U383" s="39"/>
      <c r="V383" s="39"/>
      <c r="W383" s="39"/>
      <c r="Y383" s="39"/>
      <c r="Z383" s="39"/>
      <c r="AA383" s="39"/>
      <c r="AB383" s="39"/>
      <c r="AC383" s="39"/>
      <c r="AD383" s="39"/>
      <c r="AE383" s="39"/>
      <c r="AF383" s="39"/>
      <c r="AG383" s="39"/>
      <c r="AH383" s="39"/>
      <c r="AI383" s="39"/>
      <c r="AJ383" s="423"/>
      <c r="AK383" s="39"/>
      <c r="AL383" s="423"/>
      <c r="AM383" s="39"/>
      <c r="AN383" s="39"/>
      <c r="AO383" s="39"/>
      <c r="AP383" s="39"/>
    </row>
    <row r="384" spans="2:42">
      <c r="B384" s="39"/>
      <c r="C384" s="39"/>
      <c r="D384" s="39"/>
      <c r="E384" s="39"/>
      <c r="F384" s="39"/>
      <c r="G384" s="39"/>
      <c r="H384" s="39"/>
      <c r="I384" s="39"/>
      <c r="J384" s="39"/>
      <c r="K384" s="39"/>
      <c r="L384" s="100"/>
      <c r="N384" s="39"/>
      <c r="O384" s="39"/>
      <c r="P384" s="39"/>
      <c r="Q384" s="39"/>
      <c r="R384" s="39"/>
      <c r="S384" s="39"/>
      <c r="T384" s="39"/>
      <c r="U384" s="39"/>
      <c r="V384" s="39"/>
      <c r="W384" s="39"/>
      <c r="Y384" s="39"/>
      <c r="Z384" s="39"/>
      <c r="AA384" s="39"/>
      <c r="AB384" s="39"/>
      <c r="AC384" s="39"/>
      <c r="AD384" s="39"/>
      <c r="AE384" s="39"/>
      <c r="AF384" s="39"/>
      <c r="AG384" s="39"/>
      <c r="AH384" s="39"/>
      <c r="AI384" s="39"/>
      <c r="AJ384" s="423"/>
      <c r="AK384" s="39"/>
      <c r="AL384" s="423"/>
      <c r="AM384" s="39"/>
      <c r="AN384" s="39"/>
      <c r="AO384" s="39"/>
      <c r="AP384" s="39"/>
    </row>
    <row r="385" spans="2:42">
      <c r="B385" s="39"/>
      <c r="C385" s="39"/>
      <c r="D385" s="39"/>
      <c r="E385" s="39"/>
      <c r="F385" s="39"/>
      <c r="G385" s="39"/>
      <c r="H385" s="39"/>
      <c r="I385" s="39"/>
      <c r="J385" s="39"/>
      <c r="K385" s="39"/>
      <c r="L385" s="100"/>
      <c r="N385" s="39"/>
      <c r="O385" s="39"/>
      <c r="P385" s="39"/>
      <c r="Q385" s="39"/>
      <c r="R385" s="39"/>
      <c r="S385" s="39"/>
      <c r="T385" s="39"/>
      <c r="U385" s="39"/>
      <c r="V385" s="39"/>
      <c r="W385" s="39"/>
      <c r="Y385" s="39"/>
      <c r="Z385" s="39"/>
      <c r="AA385" s="39"/>
      <c r="AB385" s="39"/>
      <c r="AC385" s="39"/>
      <c r="AD385" s="39"/>
      <c r="AE385" s="39"/>
      <c r="AF385" s="39"/>
      <c r="AG385" s="39"/>
      <c r="AH385" s="39"/>
      <c r="AI385" s="39"/>
      <c r="AJ385" s="423"/>
      <c r="AK385" s="39"/>
      <c r="AL385" s="423"/>
      <c r="AM385" s="39"/>
      <c r="AN385" s="39"/>
      <c r="AO385" s="39"/>
      <c r="AP385" s="39"/>
    </row>
    <row r="386" spans="2:42">
      <c r="B386" s="39"/>
      <c r="C386" s="39"/>
      <c r="D386" s="39"/>
      <c r="E386" s="39"/>
      <c r="F386" s="39"/>
      <c r="G386" s="39"/>
      <c r="H386" s="39"/>
      <c r="I386" s="39"/>
      <c r="J386" s="39"/>
      <c r="K386" s="39"/>
      <c r="L386" s="100"/>
      <c r="N386" s="39"/>
      <c r="O386" s="39"/>
      <c r="P386" s="39"/>
      <c r="Q386" s="39"/>
      <c r="R386" s="39"/>
      <c r="S386" s="39"/>
      <c r="T386" s="39"/>
      <c r="U386" s="39"/>
      <c r="V386" s="39"/>
      <c r="W386" s="39"/>
      <c r="Y386" s="39"/>
      <c r="Z386" s="39"/>
      <c r="AA386" s="39"/>
      <c r="AB386" s="39"/>
      <c r="AC386" s="39"/>
      <c r="AD386" s="39"/>
      <c r="AE386" s="39"/>
      <c r="AF386" s="39"/>
      <c r="AG386" s="39"/>
      <c r="AH386" s="39"/>
      <c r="AI386" s="39"/>
      <c r="AJ386" s="423"/>
      <c r="AK386" s="39"/>
      <c r="AL386" s="423"/>
      <c r="AM386" s="39"/>
      <c r="AN386" s="39"/>
      <c r="AO386" s="39"/>
      <c r="AP386" s="39"/>
    </row>
    <row r="387" spans="2:42">
      <c r="B387" s="39"/>
      <c r="C387" s="39"/>
      <c r="D387" s="39"/>
      <c r="E387" s="39"/>
      <c r="F387" s="39"/>
      <c r="G387" s="39"/>
      <c r="H387" s="39"/>
      <c r="I387" s="39"/>
      <c r="J387" s="39"/>
      <c r="K387" s="39"/>
      <c r="L387" s="100"/>
      <c r="N387" s="39"/>
      <c r="O387" s="39"/>
      <c r="P387" s="39"/>
      <c r="Q387" s="39"/>
      <c r="R387" s="39"/>
      <c r="S387" s="39"/>
      <c r="T387" s="39"/>
      <c r="U387" s="39"/>
      <c r="V387" s="39"/>
      <c r="W387" s="39"/>
      <c r="Y387" s="39"/>
      <c r="Z387" s="39"/>
      <c r="AA387" s="39"/>
      <c r="AB387" s="39"/>
      <c r="AC387" s="39"/>
      <c r="AD387" s="39"/>
      <c r="AE387" s="39"/>
      <c r="AF387" s="39"/>
      <c r="AG387" s="39"/>
      <c r="AH387" s="39"/>
      <c r="AI387" s="39"/>
      <c r="AJ387" s="423"/>
      <c r="AK387" s="39"/>
      <c r="AL387" s="423"/>
      <c r="AM387" s="39"/>
      <c r="AN387" s="39"/>
      <c r="AO387" s="39"/>
      <c r="AP387" s="39"/>
    </row>
    <row r="388" spans="2:42">
      <c r="B388" s="39"/>
      <c r="C388" s="39"/>
      <c r="D388" s="39"/>
      <c r="E388" s="39"/>
      <c r="F388" s="39"/>
      <c r="G388" s="39"/>
      <c r="H388" s="39"/>
      <c r="I388" s="39"/>
      <c r="J388" s="39"/>
      <c r="K388" s="39"/>
      <c r="L388" s="100"/>
      <c r="N388" s="39"/>
      <c r="O388" s="39"/>
      <c r="P388" s="39"/>
      <c r="Q388" s="39"/>
      <c r="R388" s="39"/>
      <c r="S388" s="39"/>
      <c r="T388" s="39"/>
      <c r="U388" s="39"/>
      <c r="V388" s="39"/>
      <c r="W388" s="39"/>
      <c r="Y388" s="39"/>
      <c r="Z388" s="39"/>
      <c r="AA388" s="39"/>
      <c r="AB388" s="39"/>
      <c r="AC388" s="39"/>
      <c r="AD388" s="39"/>
      <c r="AE388" s="39"/>
      <c r="AF388" s="39"/>
      <c r="AG388" s="39"/>
      <c r="AH388" s="39"/>
      <c r="AI388" s="39"/>
      <c r="AJ388" s="423"/>
      <c r="AK388" s="39"/>
      <c r="AL388" s="423"/>
      <c r="AM388" s="39"/>
      <c r="AN388" s="39"/>
      <c r="AO388" s="39"/>
      <c r="AP388" s="39"/>
    </row>
    <row r="389" spans="2:42">
      <c r="B389" s="39"/>
      <c r="C389" s="39"/>
      <c r="D389" s="39"/>
      <c r="E389" s="39"/>
      <c r="F389" s="39"/>
      <c r="G389" s="39"/>
      <c r="H389" s="39"/>
      <c r="I389" s="39"/>
      <c r="J389" s="39"/>
      <c r="K389" s="39"/>
      <c r="L389" s="100"/>
      <c r="N389" s="39"/>
      <c r="O389" s="39"/>
      <c r="P389" s="39"/>
      <c r="Q389" s="39"/>
      <c r="R389" s="39"/>
      <c r="S389" s="39"/>
      <c r="T389" s="39"/>
      <c r="U389" s="39"/>
      <c r="V389" s="39"/>
      <c r="W389" s="39"/>
      <c r="Y389" s="39"/>
      <c r="Z389" s="39"/>
      <c r="AA389" s="39"/>
      <c r="AB389" s="39"/>
      <c r="AC389" s="39"/>
      <c r="AD389" s="39"/>
      <c r="AE389" s="39"/>
      <c r="AF389" s="39"/>
      <c r="AG389" s="39"/>
      <c r="AH389" s="39"/>
      <c r="AI389" s="39"/>
      <c r="AJ389" s="423"/>
      <c r="AK389" s="39"/>
      <c r="AL389" s="423"/>
      <c r="AM389" s="39"/>
      <c r="AN389" s="39"/>
      <c r="AO389" s="39"/>
      <c r="AP389" s="39"/>
    </row>
    <row r="390" spans="2:42">
      <c r="B390" s="39"/>
      <c r="C390" s="39"/>
      <c r="D390" s="39"/>
      <c r="E390" s="39"/>
      <c r="F390" s="39"/>
      <c r="G390" s="39"/>
      <c r="H390" s="39"/>
      <c r="I390" s="39"/>
      <c r="J390" s="39"/>
      <c r="K390" s="39"/>
      <c r="L390" s="100"/>
      <c r="N390" s="39"/>
      <c r="O390" s="39"/>
      <c r="P390" s="39"/>
      <c r="Q390" s="39"/>
      <c r="R390" s="39"/>
      <c r="S390" s="39"/>
      <c r="T390" s="39"/>
      <c r="U390" s="39"/>
      <c r="V390" s="39"/>
      <c r="W390" s="39"/>
      <c r="Y390" s="39"/>
      <c r="Z390" s="39"/>
      <c r="AA390" s="39"/>
      <c r="AB390" s="39"/>
      <c r="AC390" s="39"/>
      <c r="AD390" s="39"/>
      <c r="AE390" s="39"/>
      <c r="AF390" s="39"/>
      <c r="AG390" s="39"/>
      <c r="AH390" s="39"/>
      <c r="AI390" s="39"/>
      <c r="AJ390" s="423"/>
      <c r="AK390" s="39"/>
      <c r="AL390" s="423"/>
      <c r="AM390" s="39"/>
      <c r="AN390" s="39"/>
      <c r="AO390" s="39"/>
      <c r="AP390" s="39"/>
    </row>
    <row r="391" spans="2:42">
      <c r="B391" s="39"/>
      <c r="C391" s="39"/>
      <c r="D391" s="39"/>
      <c r="E391" s="39"/>
      <c r="F391" s="39"/>
      <c r="G391" s="39"/>
      <c r="H391" s="39"/>
      <c r="I391" s="39"/>
      <c r="J391" s="39"/>
      <c r="K391" s="39"/>
      <c r="L391" s="100"/>
      <c r="N391" s="39"/>
      <c r="O391" s="39"/>
      <c r="P391" s="39"/>
      <c r="Q391" s="39"/>
      <c r="R391" s="39"/>
      <c r="S391" s="39"/>
      <c r="T391" s="39"/>
      <c r="U391" s="39"/>
      <c r="V391" s="39"/>
      <c r="W391" s="39"/>
      <c r="Y391" s="39"/>
      <c r="Z391" s="39"/>
      <c r="AA391" s="39"/>
      <c r="AB391" s="39"/>
      <c r="AC391" s="39"/>
      <c r="AD391" s="39"/>
      <c r="AE391" s="39"/>
      <c r="AF391" s="39"/>
      <c r="AG391" s="39"/>
      <c r="AH391" s="39"/>
      <c r="AI391" s="39"/>
      <c r="AJ391" s="423"/>
      <c r="AK391" s="39"/>
      <c r="AL391" s="423"/>
      <c r="AM391" s="39"/>
      <c r="AN391" s="39"/>
      <c r="AO391" s="39"/>
      <c r="AP391" s="39"/>
    </row>
    <row r="392" spans="2:42">
      <c r="B392" s="39"/>
      <c r="C392" s="39"/>
      <c r="D392" s="39"/>
      <c r="E392" s="39"/>
      <c r="F392" s="39"/>
      <c r="G392" s="39"/>
      <c r="H392" s="39"/>
      <c r="I392" s="39"/>
      <c r="J392" s="39"/>
      <c r="K392" s="39"/>
      <c r="L392" s="100"/>
      <c r="N392" s="39"/>
      <c r="O392" s="39"/>
      <c r="P392" s="39"/>
      <c r="Q392" s="39"/>
      <c r="R392" s="39"/>
      <c r="S392" s="39"/>
      <c r="T392" s="39"/>
      <c r="U392" s="39"/>
      <c r="V392" s="39"/>
      <c r="W392" s="39"/>
      <c r="Y392" s="39"/>
      <c r="Z392" s="39"/>
      <c r="AA392" s="39"/>
      <c r="AB392" s="39"/>
      <c r="AC392" s="39"/>
      <c r="AD392" s="39"/>
      <c r="AE392" s="39"/>
      <c r="AF392" s="39"/>
      <c r="AG392" s="39"/>
      <c r="AH392" s="39"/>
      <c r="AI392" s="39"/>
      <c r="AJ392" s="423"/>
      <c r="AK392" s="39"/>
      <c r="AL392" s="423"/>
      <c r="AM392" s="39"/>
      <c r="AN392" s="39"/>
      <c r="AO392" s="39"/>
      <c r="AP392" s="39"/>
    </row>
    <row r="393" spans="2:42">
      <c r="B393" s="39"/>
      <c r="C393" s="39"/>
      <c r="D393" s="39"/>
      <c r="E393" s="39"/>
      <c r="F393" s="39"/>
      <c r="G393" s="39"/>
      <c r="H393" s="39"/>
      <c r="I393" s="39"/>
      <c r="J393" s="39"/>
      <c r="K393" s="39"/>
      <c r="L393" s="100"/>
      <c r="N393" s="39"/>
      <c r="O393" s="39"/>
      <c r="P393" s="39"/>
      <c r="Q393" s="39"/>
      <c r="R393" s="39"/>
      <c r="S393" s="39"/>
      <c r="T393" s="39"/>
      <c r="U393" s="39"/>
      <c r="V393" s="39"/>
      <c r="W393" s="39"/>
      <c r="Y393" s="39"/>
      <c r="Z393" s="39"/>
      <c r="AA393" s="39"/>
      <c r="AB393" s="39"/>
      <c r="AC393" s="39"/>
      <c r="AD393" s="39"/>
      <c r="AE393" s="39"/>
      <c r="AF393" s="39"/>
      <c r="AG393" s="39"/>
      <c r="AH393" s="39"/>
      <c r="AI393" s="39"/>
      <c r="AJ393" s="423"/>
      <c r="AK393" s="39"/>
      <c r="AL393" s="423"/>
      <c r="AM393" s="39"/>
      <c r="AN393" s="39"/>
      <c r="AO393" s="39"/>
      <c r="AP393" s="39"/>
    </row>
    <row r="394" spans="2:42">
      <c r="B394" s="39"/>
      <c r="C394" s="39"/>
      <c r="D394" s="39"/>
      <c r="E394" s="39"/>
      <c r="F394" s="39"/>
      <c r="G394" s="39"/>
      <c r="H394" s="39"/>
      <c r="I394" s="39"/>
      <c r="J394" s="39"/>
      <c r="K394" s="39"/>
      <c r="L394" s="100"/>
      <c r="N394" s="39"/>
      <c r="O394" s="39"/>
      <c r="P394" s="39"/>
      <c r="Q394" s="39"/>
      <c r="R394" s="39"/>
      <c r="S394" s="39"/>
      <c r="T394" s="39"/>
      <c r="U394" s="39"/>
      <c r="V394" s="39"/>
      <c r="W394" s="39"/>
      <c r="Y394" s="39"/>
      <c r="Z394" s="39"/>
      <c r="AA394" s="39"/>
      <c r="AB394" s="39"/>
      <c r="AC394" s="39"/>
      <c r="AD394" s="39"/>
      <c r="AE394" s="39"/>
      <c r="AF394" s="39"/>
      <c r="AG394" s="39"/>
      <c r="AH394" s="39"/>
      <c r="AI394" s="39"/>
      <c r="AJ394" s="423"/>
      <c r="AK394" s="39"/>
      <c r="AL394" s="423"/>
      <c r="AM394" s="39"/>
      <c r="AN394" s="39"/>
      <c r="AO394" s="39"/>
      <c r="AP394" s="39"/>
    </row>
    <row r="395" spans="2:42">
      <c r="B395" s="39"/>
      <c r="C395" s="39"/>
      <c r="D395" s="39"/>
      <c r="E395" s="39"/>
      <c r="F395" s="39"/>
      <c r="G395" s="39"/>
      <c r="H395" s="39"/>
      <c r="I395" s="39"/>
      <c r="J395" s="39"/>
      <c r="K395" s="39"/>
      <c r="L395" s="100"/>
      <c r="N395" s="39"/>
      <c r="O395" s="39"/>
      <c r="P395" s="39"/>
      <c r="Q395" s="39"/>
      <c r="R395" s="39"/>
      <c r="S395" s="39"/>
      <c r="T395" s="39"/>
      <c r="U395" s="39"/>
      <c r="V395" s="39"/>
      <c r="W395" s="39"/>
      <c r="Y395" s="39"/>
      <c r="Z395" s="39"/>
      <c r="AA395" s="39"/>
      <c r="AB395" s="39"/>
      <c r="AC395" s="39"/>
      <c r="AD395" s="39"/>
      <c r="AE395" s="39"/>
      <c r="AF395" s="39"/>
      <c r="AG395" s="39"/>
      <c r="AH395" s="39"/>
      <c r="AI395" s="39"/>
      <c r="AJ395" s="423"/>
      <c r="AK395" s="39"/>
      <c r="AL395" s="423"/>
      <c r="AM395" s="39"/>
      <c r="AN395" s="39"/>
      <c r="AO395" s="39"/>
      <c r="AP395" s="39"/>
    </row>
    <row r="396" spans="2:42">
      <c r="B396" s="39"/>
      <c r="C396" s="39"/>
      <c r="D396" s="39"/>
      <c r="E396" s="39"/>
      <c r="F396" s="39"/>
      <c r="G396" s="39"/>
      <c r="H396" s="39"/>
      <c r="I396" s="39"/>
      <c r="J396" s="39"/>
      <c r="K396" s="39"/>
      <c r="L396" s="100"/>
      <c r="N396" s="39"/>
      <c r="O396" s="39"/>
      <c r="P396" s="39"/>
      <c r="Q396" s="39"/>
      <c r="R396" s="39"/>
      <c r="S396" s="39"/>
      <c r="T396" s="39"/>
      <c r="U396" s="39"/>
      <c r="V396" s="39"/>
      <c r="W396" s="39"/>
      <c r="Y396" s="39"/>
      <c r="Z396" s="39"/>
      <c r="AA396" s="39"/>
      <c r="AB396" s="39"/>
      <c r="AC396" s="39"/>
      <c r="AD396" s="39"/>
      <c r="AE396" s="39"/>
      <c r="AF396" s="39"/>
      <c r="AG396" s="39"/>
      <c r="AH396" s="39"/>
      <c r="AI396" s="39"/>
      <c r="AJ396" s="423"/>
      <c r="AK396" s="39"/>
      <c r="AL396" s="423"/>
      <c r="AM396" s="39"/>
      <c r="AN396" s="39"/>
      <c r="AO396" s="39"/>
      <c r="AP396" s="39"/>
    </row>
    <row r="397" spans="2:42">
      <c r="B397" s="39"/>
      <c r="C397" s="39"/>
      <c r="D397" s="39"/>
      <c r="E397" s="39"/>
      <c r="F397" s="39"/>
      <c r="G397" s="39"/>
      <c r="H397" s="39"/>
      <c r="I397" s="39"/>
      <c r="J397" s="39"/>
      <c r="K397" s="39"/>
      <c r="L397" s="100"/>
      <c r="N397" s="39"/>
      <c r="O397" s="39"/>
      <c r="P397" s="39"/>
      <c r="Q397" s="39"/>
      <c r="R397" s="39"/>
      <c r="S397" s="39"/>
      <c r="T397" s="39"/>
      <c r="U397" s="39"/>
      <c r="V397" s="39"/>
      <c r="W397" s="39"/>
      <c r="Y397" s="39"/>
      <c r="Z397" s="39"/>
      <c r="AA397" s="39"/>
      <c r="AB397" s="39"/>
      <c r="AC397" s="39"/>
      <c r="AD397" s="39"/>
      <c r="AE397" s="39"/>
      <c r="AF397" s="39"/>
      <c r="AG397" s="39"/>
      <c r="AH397" s="39"/>
      <c r="AI397" s="39"/>
      <c r="AJ397" s="423"/>
      <c r="AK397" s="39"/>
      <c r="AL397" s="423"/>
      <c r="AM397" s="39"/>
      <c r="AN397" s="39"/>
      <c r="AO397" s="39"/>
      <c r="AP397" s="39"/>
    </row>
    <row r="398" spans="2:42">
      <c r="B398" s="39"/>
      <c r="C398" s="39"/>
      <c r="D398" s="39"/>
      <c r="E398" s="39"/>
      <c r="F398" s="39"/>
      <c r="G398" s="39"/>
      <c r="H398" s="39"/>
      <c r="I398" s="39"/>
      <c r="J398" s="39"/>
      <c r="K398" s="39"/>
      <c r="L398" s="100"/>
      <c r="N398" s="39"/>
      <c r="O398" s="39"/>
      <c r="P398" s="39"/>
      <c r="Q398" s="39"/>
      <c r="R398" s="39"/>
      <c r="S398" s="39"/>
      <c r="T398" s="39"/>
      <c r="U398" s="39"/>
      <c r="V398" s="39"/>
      <c r="W398" s="39"/>
      <c r="Y398" s="39"/>
      <c r="Z398" s="39"/>
      <c r="AA398" s="39"/>
      <c r="AB398" s="39"/>
      <c r="AC398" s="39"/>
      <c r="AD398" s="39"/>
      <c r="AE398" s="39"/>
      <c r="AF398" s="39"/>
      <c r="AG398" s="39"/>
      <c r="AH398" s="39"/>
      <c r="AI398" s="39"/>
      <c r="AJ398" s="423"/>
      <c r="AK398" s="39"/>
      <c r="AL398" s="423"/>
      <c r="AM398" s="39"/>
      <c r="AN398" s="39"/>
      <c r="AO398" s="39"/>
      <c r="AP398" s="39"/>
    </row>
    <row r="399" spans="2:42">
      <c r="B399" s="39"/>
      <c r="C399" s="39"/>
      <c r="D399" s="39"/>
      <c r="E399" s="39"/>
      <c r="F399" s="39"/>
      <c r="G399" s="39"/>
      <c r="H399" s="39"/>
      <c r="I399" s="39"/>
      <c r="J399" s="39"/>
      <c r="K399" s="39"/>
      <c r="L399" s="100"/>
      <c r="N399" s="39"/>
      <c r="O399" s="39"/>
      <c r="P399" s="39"/>
      <c r="Q399" s="39"/>
      <c r="R399" s="39"/>
      <c r="S399" s="39"/>
      <c r="T399" s="39"/>
      <c r="U399" s="39"/>
      <c r="V399" s="39"/>
      <c r="W399" s="39"/>
      <c r="Y399" s="39"/>
      <c r="Z399" s="39"/>
      <c r="AA399" s="39"/>
      <c r="AB399" s="39"/>
      <c r="AC399" s="39"/>
      <c r="AD399" s="39"/>
      <c r="AE399" s="39"/>
      <c r="AF399" s="39"/>
      <c r="AG399" s="39"/>
      <c r="AH399" s="39"/>
      <c r="AI399" s="39"/>
      <c r="AJ399" s="423"/>
      <c r="AK399" s="39"/>
      <c r="AL399" s="423"/>
      <c r="AM399" s="39"/>
      <c r="AN399" s="39"/>
      <c r="AO399" s="39"/>
      <c r="AP399" s="39"/>
    </row>
    <row r="400" spans="2:42">
      <c r="B400" s="39"/>
      <c r="C400" s="39"/>
      <c r="D400" s="39"/>
      <c r="E400" s="39"/>
      <c r="F400" s="39"/>
      <c r="G400" s="39"/>
      <c r="H400" s="39"/>
      <c r="I400" s="39"/>
      <c r="J400" s="39"/>
      <c r="K400" s="39"/>
      <c r="L400" s="100"/>
      <c r="N400" s="39"/>
      <c r="O400" s="39"/>
      <c r="P400" s="39"/>
      <c r="Q400" s="39"/>
      <c r="R400" s="39"/>
      <c r="S400" s="39"/>
      <c r="T400" s="39"/>
      <c r="U400" s="39"/>
      <c r="V400" s="39"/>
      <c r="W400" s="39"/>
      <c r="Y400" s="39"/>
      <c r="Z400" s="39"/>
      <c r="AA400" s="39"/>
      <c r="AB400" s="39"/>
      <c r="AC400" s="39"/>
      <c r="AD400" s="39"/>
      <c r="AE400" s="39"/>
      <c r="AF400" s="39"/>
      <c r="AG400" s="39"/>
      <c r="AH400" s="39"/>
      <c r="AI400" s="39"/>
      <c r="AJ400" s="423"/>
      <c r="AK400" s="39"/>
      <c r="AL400" s="423"/>
      <c r="AM400" s="39"/>
      <c r="AN400" s="39"/>
      <c r="AO400" s="39"/>
      <c r="AP400" s="39"/>
    </row>
    <row r="401" spans="2:42">
      <c r="B401" s="39"/>
      <c r="C401" s="39"/>
      <c r="D401" s="39"/>
      <c r="E401" s="39"/>
      <c r="F401" s="39"/>
      <c r="G401" s="39"/>
      <c r="H401" s="39"/>
      <c r="I401" s="39"/>
      <c r="J401" s="39"/>
      <c r="K401" s="39"/>
      <c r="L401" s="100"/>
      <c r="N401" s="39"/>
      <c r="O401" s="39"/>
      <c r="P401" s="39"/>
      <c r="Q401" s="39"/>
      <c r="R401" s="39"/>
      <c r="S401" s="39"/>
      <c r="T401" s="39"/>
      <c r="U401" s="39"/>
      <c r="V401" s="39"/>
      <c r="W401" s="39"/>
      <c r="Y401" s="39"/>
      <c r="Z401" s="39"/>
      <c r="AA401" s="39"/>
      <c r="AB401" s="39"/>
      <c r="AC401" s="39"/>
      <c r="AD401" s="39"/>
      <c r="AE401" s="39"/>
      <c r="AF401" s="39"/>
      <c r="AG401" s="39"/>
      <c r="AH401" s="39"/>
      <c r="AI401" s="39"/>
      <c r="AJ401" s="423"/>
      <c r="AK401" s="39"/>
      <c r="AL401" s="423"/>
      <c r="AM401" s="39"/>
      <c r="AN401" s="39"/>
      <c r="AO401" s="39"/>
      <c r="AP401" s="39"/>
    </row>
    <row r="402" spans="2:42">
      <c r="B402" s="39"/>
      <c r="C402" s="39"/>
      <c r="D402" s="39"/>
      <c r="E402" s="39"/>
      <c r="F402" s="39"/>
      <c r="G402" s="39"/>
      <c r="H402" s="39"/>
      <c r="I402" s="39"/>
      <c r="J402" s="39"/>
      <c r="K402" s="39"/>
      <c r="L402" s="100"/>
      <c r="N402" s="39"/>
      <c r="O402" s="39"/>
      <c r="P402" s="39"/>
      <c r="Q402" s="39"/>
      <c r="R402" s="39"/>
      <c r="S402" s="39"/>
      <c r="T402" s="39"/>
      <c r="U402" s="39"/>
      <c r="V402" s="39"/>
      <c r="W402" s="39"/>
      <c r="Y402" s="39"/>
      <c r="Z402" s="39"/>
      <c r="AA402" s="39"/>
      <c r="AB402" s="39"/>
      <c r="AC402" s="39"/>
      <c r="AD402" s="39"/>
      <c r="AE402" s="39"/>
      <c r="AF402" s="39"/>
      <c r="AG402" s="39"/>
      <c r="AH402" s="39"/>
      <c r="AI402" s="39"/>
      <c r="AJ402" s="423"/>
      <c r="AK402" s="39"/>
      <c r="AL402" s="423"/>
      <c r="AM402" s="39"/>
      <c r="AN402" s="39"/>
      <c r="AO402" s="39"/>
      <c r="AP402" s="39"/>
    </row>
    <row r="403" spans="2:42">
      <c r="B403" s="39"/>
      <c r="C403" s="39"/>
      <c r="D403" s="39"/>
      <c r="E403" s="39"/>
      <c r="F403" s="39"/>
      <c r="G403" s="39"/>
      <c r="H403" s="39"/>
      <c r="I403" s="39"/>
      <c r="J403" s="39"/>
      <c r="K403" s="39"/>
      <c r="L403" s="100"/>
      <c r="N403" s="39"/>
      <c r="O403" s="39"/>
      <c r="P403" s="39"/>
      <c r="Q403" s="39"/>
      <c r="R403" s="39"/>
      <c r="S403" s="39"/>
      <c r="T403" s="39"/>
      <c r="U403" s="39"/>
      <c r="V403" s="39"/>
      <c r="W403" s="39"/>
      <c r="Y403" s="39"/>
      <c r="Z403" s="39"/>
      <c r="AA403" s="39"/>
      <c r="AB403" s="39"/>
      <c r="AC403" s="39"/>
      <c r="AD403" s="39"/>
      <c r="AE403" s="39"/>
      <c r="AF403" s="39"/>
      <c r="AG403" s="39"/>
      <c r="AH403" s="39"/>
      <c r="AI403" s="39"/>
      <c r="AJ403" s="423"/>
      <c r="AK403" s="39"/>
      <c r="AL403" s="423"/>
      <c r="AM403" s="39"/>
      <c r="AN403" s="39"/>
      <c r="AO403" s="39"/>
      <c r="AP403" s="39"/>
    </row>
    <row r="404" spans="2:42">
      <c r="B404" s="39"/>
      <c r="C404" s="39"/>
      <c r="D404" s="39"/>
      <c r="E404" s="39"/>
      <c r="F404" s="39"/>
      <c r="G404" s="39"/>
      <c r="H404" s="39"/>
      <c r="I404" s="39"/>
      <c r="J404" s="39"/>
      <c r="K404" s="39"/>
      <c r="L404" s="100"/>
      <c r="N404" s="39"/>
      <c r="O404" s="39"/>
      <c r="P404" s="39"/>
      <c r="Q404" s="39"/>
      <c r="R404" s="39"/>
      <c r="S404" s="39"/>
      <c r="T404" s="39"/>
      <c r="U404" s="39"/>
      <c r="V404" s="39"/>
      <c r="W404" s="39"/>
      <c r="Y404" s="39"/>
      <c r="Z404" s="39"/>
      <c r="AA404" s="39"/>
      <c r="AB404" s="39"/>
      <c r="AC404" s="39"/>
      <c r="AD404" s="39"/>
      <c r="AE404" s="39"/>
      <c r="AF404" s="39"/>
      <c r="AG404" s="39"/>
      <c r="AH404" s="39"/>
      <c r="AI404" s="39"/>
      <c r="AJ404" s="423"/>
      <c r="AK404" s="39"/>
      <c r="AL404" s="423"/>
      <c r="AM404" s="39"/>
      <c r="AN404" s="39"/>
      <c r="AO404" s="39"/>
      <c r="AP404" s="39"/>
    </row>
    <row r="405" spans="2:42">
      <c r="B405" s="39"/>
      <c r="C405" s="39"/>
      <c r="D405" s="39"/>
      <c r="E405" s="39"/>
      <c r="F405" s="39"/>
      <c r="G405" s="39"/>
      <c r="H405" s="39"/>
      <c r="I405" s="39"/>
      <c r="J405" s="39"/>
      <c r="K405" s="39"/>
      <c r="L405" s="100"/>
      <c r="N405" s="39"/>
      <c r="O405" s="39"/>
      <c r="P405" s="39"/>
      <c r="Q405" s="39"/>
      <c r="R405" s="39"/>
      <c r="S405" s="39"/>
      <c r="T405" s="39"/>
      <c r="U405" s="39"/>
      <c r="V405" s="39"/>
      <c r="W405" s="39"/>
      <c r="Y405" s="39"/>
      <c r="Z405" s="39"/>
      <c r="AA405" s="39"/>
      <c r="AB405" s="39"/>
      <c r="AC405" s="39"/>
      <c r="AD405" s="39"/>
      <c r="AE405" s="39"/>
      <c r="AF405" s="39"/>
      <c r="AG405" s="39"/>
      <c r="AH405" s="39"/>
      <c r="AI405" s="39"/>
      <c r="AJ405" s="423"/>
      <c r="AK405" s="39"/>
      <c r="AL405" s="423"/>
      <c r="AM405" s="39"/>
      <c r="AN405" s="39"/>
      <c r="AO405" s="39"/>
      <c r="AP405" s="39"/>
    </row>
    <row r="406" spans="2:42">
      <c r="B406" s="39"/>
      <c r="C406" s="39"/>
      <c r="D406" s="39"/>
      <c r="E406" s="39"/>
      <c r="F406" s="39"/>
      <c r="G406" s="39"/>
      <c r="H406" s="39"/>
      <c r="I406" s="39"/>
      <c r="J406" s="39"/>
      <c r="K406" s="39"/>
      <c r="L406" s="100"/>
      <c r="N406" s="39"/>
      <c r="O406" s="39"/>
      <c r="P406" s="39"/>
      <c r="Q406" s="39"/>
      <c r="R406" s="39"/>
      <c r="S406" s="39"/>
      <c r="T406" s="39"/>
      <c r="U406" s="39"/>
      <c r="V406" s="39"/>
      <c r="W406" s="39"/>
      <c r="Y406" s="39"/>
      <c r="Z406" s="39"/>
      <c r="AA406" s="39"/>
      <c r="AB406" s="39"/>
      <c r="AC406" s="39"/>
      <c r="AD406" s="39"/>
      <c r="AE406" s="39"/>
      <c r="AF406" s="39"/>
      <c r="AG406" s="39"/>
      <c r="AH406" s="39"/>
      <c r="AI406" s="39"/>
      <c r="AJ406" s="423"/>
      <c r="AK406" s="39"/>
      <c r="AL406" s="423"/>
      <c r="AM406" s="39"/>
      <c r="AN406" s="39"/>
      <c r="AO406" s="39"/>
      <c r="AP406" s="39"/>
    </row>
    <row r="407" spans="2:42">
      <c r="B407" s="39"/>
      <c r="C407" s="39"/>
      <c r="D407" s="39"/>
      <c r="E407" s="39"/>
      <c r="F407" s="39"/>
      <c r="G407" s="39"/>
      <c r="H407" s="39"/>
      <c r="I407" s="39"/>
      <c r="J407" s="39"/>
      <c r="K407" s="39"/>
      <c r="L407" s="100"/>
      <c r="N407" s="39"/>
      <c r="O407" s="39"/>
      <c r="P407" s="39"/>
      <c r="Q407" s="39"/>
      <c r="R407" s="39"/>
      <c r="S407" s="39"/>
      <c r="T407" s="39"/>
      <c r="U407" s="39"/>
      <c r="V407" s="39"/>
      <c r="W407" s="39"/>
      <c r="Y407" s="39"/>
      <c r="Z407" s="39"/>
      <c r="AA407" s="39"/>
      <c r="AB407" s="39"/>
      <c r="AC407" s="39"/>
      <c r="AD407" s="39"/>
      <c r="AE407" s="39"/>
      <c r="AF407" s="39"/>
      <c r="AG407" s="39"/>
      <c r="AH407" s="39"/>
      <c r="AI407" s="39"/>
      <c r="AJ407" s="423"/>
      <c r="AK407" s="39"/>
      <c r="AL407" s="423"/>
      <c r="AM407" s="39"/>
      <c r="AN407" s="39"/>
      <c r="AO407" s="39"/>
      <c r="AP407" s="39"/>
    </row>
    <row r="408" spans="2:42">
      <c r="B408" s="39"/>
      <c r="C408" s="39"/>
      <c r="D408" s="39"/>
      <c r="E408" s="39"/>
      <c r="F408" s="39"/>
      <c r="G408" s="39"/>
      <c r="H408" s="39"/>
      <c r="I408" s="39"/>
      <c r="J408" s="39"/>
      <c r="K408" s="39"/>
      <c r="L408" s="100"/>
      <c r="N408" s="39"/>
      <c r="O408" s="39"/>
      <c r="P408" s="39"/>
      <c r="Q408" s="39"/>
      <c r="R408" s="39"/>
      <c r="S408" s="39"/>
      <c r="T408" s="39"/>
      <c r="U408" s="39"/>
      <c r="V408" s="39"/>
      <c r="W408" s="39"/>
      <c r="Y408" s="39"/>
      <c r="Z408" s="39"/>
      <c r="AA408" s="39"/>
      <c r="AB408" s="39"/>
      <c r="AC408" s="39"/>
      <c r="AD408" s="39"/>
      <c r="AE408" s="39"/>
      <c r="AF408" s="39"/>
      <c r="AG408" s="39"/>
      <c r="AH408" s="39"/>
      <c r="AI408" s="39"/>
      <c r="AJ408" s="423"/>
      <c r="AK408" s="39"/>
      <c r="AL408" s="423"/>
      <c r="AM408" s="39"/>
      <c r="AN408" s="39"/>
      <c r="AO408" s="39"/>
      <c r="AP408" s="39"/>
    </row>
    <row r="409" spans="2:42">
      <c r="B409" s="39"/>
      <c r="C409" s="39"/>
      <c r="D409" s="39"/>
      <c r="E409" s="39"/>
      <c r="F409" s="39"/>
      <c r="G409" s="39"/>
      <c r="H409" s="39"/>
      <c r="I409" s="39"/>
      <c r="J409" s="39"/>
      <c r="K409" s="39"/>
      <c r="L409" s="100"/>
      <c r="N409" s="39"/>
      <c r="O409" s="39"/>
      <c r="P409" s="39"/>
      <c r="Q409" s="39"/>
      <c r="R409" s="39"/>
      <c r="S409" s="39"/>
      <c r="T409" s="39"/>
      <c r="U409" s="39"/>
      <c r="V409" s="39"/>
      <c r="W409" s="39"/>
      <c r="Y409" s="39"/>
      <c r="Z409" s="39"/>
      <c r="AA409" s="39"/>
      <c r="AB409" s="39"/>
      <c r="AC409" s="39"/>
      <c r="AD409" s="39"/>
      <c r="AE409" s="39"/>
      <c r="AF409" s="39"/>
      <c r="AG409" s="39"/>
      <c r="AH409" s="39"/>
      <c r="AI409" s="39"/>
      <c r="AJ409" s="423"/>
      <c r="AK409" s="39"/>
      <c r="AL409" s="423"/>
      <c r="AM409" s="39"/>
      <c r="AN409" s="39"/>
      <c r="AO409" s="39"/>
      <c r="AP409" s="39"/>
    </row>
    <row r="410" spans="2:42">
      <c r="B410" s="39"/>
      <c r="C410" s="39"/>
      <c r="D410" s="39"/>
      <c r="E410" s="39"/>
      <c r="F410" s="39"/>
      <c r="G410" s="39"/>
      <c r="H410" s="39"/>
      <c r="I410" s="39"/>
      <c r="J410" s="39"/>
      <c r="K410" s="39"/>
      <c r="L410" s="100"/>
      <c r="N410" s="39"/>
      <c r="O410" s="39"/>
      <c r="P410" s="39"/>
      <c r="Q410" s="39"/>
      <c r="R410" s="39"/>
      <c r="S410" s="39"/>
      <c r="T410" s="39"/>
      <c r="U410" s="39"/>
      <c r="V410" s="39"/>
      <c r="W410" s="39"/>
      <c r="Y410" s="39"/>
      <c r="Z410" s="39"/>
      <c r="AA410" s="39"/>
      <c r="AB410" s="39"/>
      <c r="AC410" s="39"/>
      <c r="AD410" s="39"/>
      <c r="AE410" s="39"/>
      <c r="AF410" s="39"/>
      <c r="AG410" s="39"/>
      <c r="AH410" s="39"/>
      <c r="AI410" s="39"/>
      <c r="AJ410" s="423"/>
      <c r="AK410" s="39"/>
      <c r="AL410" s="423"/>
      <c r="AM410" s="39"/>
      <c r="AN410" s="39"/>
      <c r="AO410" s="39"/>
      <c r="AP410" s="39"/>
    </row>
    <row r="411" spans="2:42">
      <c r="B411" s="39"/>
      <c r="C411" s="39"/>
      <c r="D411" s="39"/>
      <c r="E411" s="39"/>
      <c r="F411" s="39"/>
      <c r="G411" s="39"/>
      <c r="H411" s="39"/>
      <c r="I411" s="39"/>
      <c r="J411" s="39"/>
      <c r="K411" s="39"/>
      <c r="L411" s="100"/>
      <c r="N411" s="39"/>
      <c r="O411" s="39"/>
      <c r="P411" s="39"/>
      <c r="Q411" s="39"/>
      <c r="R411" s="39"/>
      <c r="S411" s="39"/>
      <c r="T411" s="39"/>
      <c r="U411" s="39"/>
      <c r="V411" s="39"/>
      <c r="W411" s="39"/>
      <c r="Y411" s="39"/>
      <c r="Z411" s="39"/>
      <c r="AA411" s="39"/>
      <c r="AB411" s="39"/>
      <c r="AC411" s="39"/>
      <c r="AD411" s="39"/>
      <c r="AE411" s="39"/>
      <c r="AF411" s="39"/>
      <c r="AG411" s="39"/>
      <c r="AH411" s="39"/>
      <c r="AI411" s="39"/>
      <c r="AJ411" s="423"/>
      <c r="AK411" s="39"/>
      <c r="AL411" s="423"/>
      <c r="AM411" s="39"/>
      <c r="AN411" s="39"/>
      <c r="AO411" s="39"/>
      <c r="AP411" s="39"/>
    </row>
    <row r="412" spans="2:42">
      <c r="B412" s="39"/>
      <c r="C412" s="39"/>
      <c r="D412" s="39"/>
      <c r="E412" s="39"/>
      <c r="F412" s="39"/>
      <c r="G412" s="39"/>
      <c r="H412" s="39"/>
      <c r="I412" s="39"/>
      <c r="J412" s="39"/>
      <c r="K412" s="39"/>
      <c r="L412" s="100"/>
      <c r="N412" s="39"/>
      <c r="O412" s="39"/>
      <c r="P412" s="39"/>
      <c r="Q412" s="39"/>
      <c r="R412" s="39"/>
      <c r="S412" s="39"/>
      <c r="T412" s="39"/>
      <c r="U412" s="39"/>
      <c r="V412" s="39"/>
      <c r="W412" s="39"/>
      <c r="Y412" s="39"/>
      <c r="Z412" s="39"/>
      <c r="AA412" s="39"/>
      <c r="AB412" s="39"/>
      <c r="AC412" s="39"/>
      <c r="AD412" s="39"/>
      <c r="AE412" s="39"/>
      <c r="AF412" s="39"/>
      <c r="AG412" s="39"/>
      <c r="AH412" s="39"/>
      <c r="AI412" s="39"/>
      <c r="AJ412" s="423"/>
      <c r="AK412" s="39"/>
      <c r="AL412" s="423"/>
      <c r="AM412" s="39"/>
      <c r="AN412" s="39"/>
      <c r="AO412" s="39"/>
      <c r="AP412" s="39"/>
    </row>
    <row r="413" spans="2:42">
      <c r="B413" s="39"/>
      <c r="C413" s="39"/>
      <c r="D413" s="39"/>
      <c r="E413" s="39"/>
      <c r="F413" s="39"/>
      <c r="G413" s="39"/>
      <c r="H413" s="39"/>
      <c r="I413" s="39"/>
      <c r="J413" s="39"/>
      <c r="K413" s="39"/>
      <c r="L413" s="100"/>
      <c r="N413" s="39"/>
      <c r="O413" s="39"/>
      <c r="P413" s="39"/>
      <c r="Q413" s="39"/>
      <c r="R413" s="39"/>
      <c r="S413" s="39"/>
      <c r="T413" s="39"/>
      <c r="U413" s="39"/>
      <c r="V413" s="39"/>
      <c r="W413" s="39"/>
      <c r="Y413" s="39"/>
      <c r="Z413" s="39"/>
      <c r="AA413" s="39"/>
      <c r="AB413" s="39"/>
      <c r="AC413" s="39"/>
      <c r="AD413" s="39"/>
      <c r="AE413" s="39"/>
      <c r="AF413" s="39"/>
      <c r="AG413" s="39"/>
      <c r="AH413" s="39"/>
      <c r="AI413" s="39"/>
      <c r="AJ413" s="423"/>
      <c r="AK413" s="39"/>
      <c r="AL413" s="423"/>
      <c r="AM413" s="39"/>
      <c r="AN413" s="39"/>
      <c r="AO413" s="39"/>
      <c r="AP413" s="39"/>
    </row>
    <row r="414" spans="2:42">
      <c r="B414" s="39"/>
      <c r="C414" s="39"/>
      <c r="D414" s="39"/>
      <c r="E414" s="39"/>
      <c r="F414" s="39"/>
      <c r="G414" s="39"/>
      <c r="H414" s="39"/>
      <c r="I414" s="39"/>
      <c r="J414" s="39"/>
      <c r="K414" s="39"/>
      <c r="L414" s="100"/>
      <c r="N414" s="39"/>
      <c r="O414" s="39"/>
      <c r="P414" s="39"/>
      <c r="Q414" s="39"/>
      <c r="R414" s="39"/>
      <c r="S414" s="39"/>
      <c r="T414" s="39"/>
      <c r="U414" s="39"/>
      <c r="V414" s="39"/>
      <c r="W414" s="39"/>
      <c r="Y414" s="39"/>
      <c r="Z414" s="39"/>
      <c r="AA414" s="39"/>
      <c r="AB414" s="39"/>
      <c r="AC414" s="39"/>
      <c r="AD414" s="39"/>
      <c r="AE414" s="39"/>
      <c r="AF414" s="39"/>
      <c r="AG414" s="39"/>
      <c r="AH414" s="39"/>
      <c r="AI414" s="39"/>
      <c r="AJ414" s="423"/>
      <c r="AK414" s="39"/>
      <c r="AL414" s="423"/>
      <c r="AM414" s="39"/>
      <c r="AN414" s="39"/>
      <c r="AO414" s="39"/>
      <c r="AP414" s="39"/>
    </row>
    <row r="415" spans="2:42">
      <c r="B415" s="39"/>
      <c r="C415" s="39"/>
      <c r="D415" s="39"/>
      <c r="E415" s="39"/>
      <c r="F415" s="39"/>
      <c r="G415" s="39"/>
      <c r="H415" s="39"/>
      <c r="I415" s="39"/>
      <c r="J415" s="39"/>
      <c r="K415" s="39"/>
      <c r="L415" s="100"/>
      <c r="N415" s="39"/>
      <c r="O415" s="39"/>
      <c r="P415" s="39"/>
      <c r="Q415" s="39"/>
      <c r="R415" s="39"/>
      <c r="S415" s="39"/>
      <c r="T415" s="39"/>
      <c r="U415" s="39"/>
      <c r="V415" s="39"/>
      <c r="W415" s="39"/>
      <c r="Y415" s="39"/>
      <c r="Z415" s="39"/>
      <c r="AA415" s="39"/>
      <c r="AB415" s="39"/>
      <c r="AC415" s="39"/>
      <c r="AD415" s="39"/>
      <c r="AE415" s="39"/>
      <c r="AF415" s="39"/>
      <c r="AG415" s="39"/>
      <c r="AH415" s="39"/>
      <c r="AI415" s="39"/>
      <c r="AJ415" s="423"/>
      <c r="AK415" s="39"/>
      <c r="AL415" s="423"/>
      <c r="AM415" s="39"/>
      <c r="AN415" s="39"/>
      <c r="AO415" s="39"/>
      <c r="AP415" s="39"/>
    </row>
    <row r="416" spans="2:42">
      <c r="B416" s="39"/>
      <c r="C416" s="39"/>
      <c r="D416" s="39"/>
      <c r="E416" s="39"/>
      <c r="F416" s="39"/>
      <c r="G416" s="39"/>
      <c r="H416" s="39"/>
      <c r="I416" s="39"/>
      <c r="J416" s="39"/>
      <c r="K416" s="39"/>
      <c r="L416" s="100"/>
      <c r="N416" s="39"/>
      <c r="O416" s="39"/>
      <c r="P416" s="39"/>
      <c r="Q416" s="39"/>
      <c r="R416" s="39"/>
      <c r="S416" s="39"/>
      <c r="T416" s="39"/>
      <c r="U416" s="39"/>
      <c r="V416" s="39"/>
      <c r="W416" s="39"/>
      <c r="Y416" s="39"/>
      <c r="Z416" s="39"/>
      <c r="AA416" s="39"/>
      <c r="AB416" s="39"/>
      <c r="AC416" s="39"/>
      <c r="AD416" s="39"/>
      <c r="AE416" s="39"/>
      <c r="AF416" s="39"/>
      <c r="AG416" s="39"/>
      <c r="AH416" s="39"/>
      <c r="AI416" s="39"/>
      <c r="AJ416" s="423"/>
      <c r="AK416" s="39"/>
      <c r="AL416" s="423"/>
      <c r="AM416" s="39"/>
      <c r="AN416" s="39"/>
      <c r="AO416" s="39"/>
      <c r="AP416" s="39"/>
    </row>
    <row r="417" spans="2:42">
      <c r="B417" s="39"/>
      <c r="C417" s="39"/>
      <c r="D417" s="39"/>
      <c r="E417" s="39"/>
      <c r="F417" s="39"/>
      <c r="G417" s="39"/>
      <c r="H417" s="39"/>
      <c r="I417" s="39"/>
      <c r="J417" s="39"/>
      <c r="K417" s="39"/>
      <c r="L417" s="100"/>
      <c r="N417" s="39"/>
      <c r="O417" s="39"/>
      <c r="P417" s="39"/>
      <c r="Q417" s="39"/>
      <c r="R417" s="39"/>
      <c r="S417" s="39"/>
      <c r="T417" s="39"/>
      <c r="U417" s="39"/>
      <c r="V417" s="39"/>
      <c r="W417" s="39"/>
      <c r="Y417" s="39"/>
      <c r="Z417" s="39"/>
      <c r="AA417" s="39"/>
      <c r="AB417" s="39"/>
      <c r="AC417" s="39"/>
      <c r="AD417" s="39"/>
      <c r="AE417" s="39"/>
      <c r="AF417" s="39"/>
      <c r="AG417" s="39"/>
      <c r="AH417" s="39"/>
      <c r="AI417" s="39"/>
      <c r="AJ417" s="423"/>
      <c r="AK417" s="39"/>
      <c r="AL417" s="423"/>
      <c r="AM417" s="39"/>
      <c r="AN417" s="39"/>
      <c r="AO417" s="39"/>
      <c r="AP417" s="39"/>
    </row>
    <row r="418" spans="2:42">
      <c r="B418" s="39"/>
      <c r="C418" s="39"/>
      <c r="D418" s="39"/>
      <c r="E418" s="39"/>
      <c r="F418" s="39"/>
      <c r="G418" s="39"/>
      <c r="H418" s="39"/>
      <c r="I418" s="39"/>
      <c r="J418" s="39"/>
      <c r="K418" s="39"/>
      <c r="L418" s="100"/>
      <c r="N418" s="39"/>
      <c r="O418" s="39"/>
      <c r="P418" s="39"/>
      <c r="Q418" s="39"/>
      <c r="R418" s="39"/>
      <c r="S418" s="39"/>
      <c r="T418" s="39"/>
      <c r="U418" s="39"/>
      <c r="V418" s="39"/>
      <c r="W418" s="39"/>
      <c r="Y418" s="39"/>
      <c r="Z418" s="39"/>
      <c r="AA418" s="39"/>
      <c r="AB418" s="39"/>
      <c r="AC418" s="39"/>
      <c r="AD418" s="39"/>
      <c r="AE418" s="39"/>
      <c r="AF418" s="39"/>
      <c r="AG418" s="39"/>
      <c r="AH418" s="39"/>
      <c r="AI418" s="39"/>
      <c r="AJ418" s="423"/>
      <c r="AK418" s="39"/>
      <c r="AL418" s="423"/>
      <c r="AM418" s="39"/>
      <c r="AN418" s="39"/>
      <c r="AO418" s="39"/>
      <c r="AP418" s="39"/>
    </row>
    <row r="419" spans="2:42">
      <c r="B419" s="39"/>
      <c r="C419" s="39"/>
      <c r="D419" s="39"/>
      <c r="E419" s="39"/>
      <c r="F419" s="39"/>
      <c r="G419" s="39"/>
      <c r="H419" s="39"/>
      <c r="I419" s="39"/>
      <c r="J419" s="39"/>
      <c r="K419" s="39"/>
      <c r="L419" s="100"/>
      <c r="N419" s="39"/>
      <c r="O419" s="39"/>
      <c r="P419" s="39"/>
      <c r="Q419" s="39"/>
      <c r="R419" s="39"/>
      <c r="S419" s="39"/>
      <c r="T419" s="39"/>
      <c r="U419" s="39"/>
      <c r="V419" s="39"/>
      <c r="W419" s="39"/>
      <c r="Y419" s="39"/>
      <c r="Z419" s="39"/>
      <c r="AA419" s="39"/>
      <c r="AB419" s="39"/>
      <c r="AC419" s="39"/>
      <c r="AD419" s="39"/>
      <c r="AE419" s="39"/>
      <c r="AF419" s="39"/>
      <c r="AG419" s="39"/>
      <c r="AH419" s="39"/>
      <c r="AI419" s="39"/>
      <c r="AJ419" s="423"/>
      <c r="AK419" s="39"/>
      <c r="AL419" s="423"/>
      <c r="AM419" s="39"/>
      <c r="AN419" s="39"/>
      <c r="AO419" s="39"/>
      <c r="AP419" s="39"/>
    </row>
    <row r="420" spans="2:42">
      <c r="B420" s="39"/>
      <c r="C420" s="39"/>
      <c r="D420" s="39"/>
      <c r="E420" s="39"/>
      <c r="F420" s="39"/>
      <c r="G420" s="39"/>
      <c r="H420" s="39"/>
      <c r="I420" s="39"/>
      <c r="J420" s="39"/>
      <c r="K420" s="39"/>
      <c r="L420" s="100"/>
      <c r="N420" s="39"/>
      <c r="O420" s="39"/>
      <c r="P420" s="39"/>
      <c r="Q420" s="39"/>
      <c r="R420" s="39"/>
      <c r="S420" s="39"/>
      <c r="T420" s="39"/>
      <c r="U420" s="39"/>
      <c r="V420" s="39"/>
      <c r="W420" s="39"/>
      <c r="Y420" s="39"/>
      <c r="Z420" s="39"/>
      <c r="AA420" s="39"/>
      <c r="AB420" s="39"/>
      <c r="AC420" s="39"/>
      <c r="AD420" s="39"/>
      <c r="AE420" s="39"/>
      <c r="AF420" s="39"/>
      <c r="AG420" s="39"/>
      <c r="AH420" s="39"/>
      <c r="AI420" s="39"/>
      <c r="AJ420" s="423"/>
      <c r="AK420" s="39"/>
      <c r="AL420" s="423"/>
      <c r="AM420" s="39"/>
      <c r="AN420" s="39"/>
      <c r="AO420" s="39"/>
      <c r="AP420" s="39"/>
    </row>
    <row r="421" spans="2:42">
      <c r="B421" s="39"/>
      <c r="C421" s="39"/>
      <c r="D421" s="39"/>
      <c r="E421" s="39"/>
      <c r="F421" s="39"/>
      <c r="G421" s="39"/>
      <c r="H421" s="39"/>
      <c r="I421" s="39"/>
      <c r="J421" s="39"/>
      <c r="K421" s="39"/>
      <c r="L421" s="100"/>
      <c r="N421" s="39"/>
      <c r="O421" s="39"/>
      <c r="P421" s="39"/>
      <c r="Q421" s="39"/>
      <c r="R421" s="39"/>
      <c r="S421" s="39"/>
      <c r="T421" s="39"/>
      <c r="U421" s="39"/>
      <c r="V421" s="39"/>
      <c r="W421" s="39"/>
      <c r="Y421" s="39"/>
      <c r="Z421" s="39"/>
      <c r="AA421" s="39"/>
      <c r="AB421" s="39"/>
      <c r="AC421" s="39"/>
      <c r="AD421" s="39"/>
      <c r="AE421" s="39"/>
      <c r="AF421" s="39"/>
      <c r="AG421" s="39"/>
      <c r="AH421" s="39"/>
      <c r="AI421" s="39"/>
      <c r="AJ421" s="423"/>
      <c r="AK421" s="39"/>
      <c r="AL421" s="423"/>
      <c r="AM421" s="39"/>
      <c r="AN421" s="39"/>
      <c r="AO421" s="39"/>
      <c r="AP421" s="39"/>
    </row>
    <row r="422" spans="2:42">
      <c r="B422" s="39"/>
      <c r="C422" s="39"/>
      <c r="D422" s="39"/>
      <c r="E422" s="39"/>
      <c r="F422" s="39"/>
      <c r="G422" s="39"/>
      <c r="H422" s="39"/>
      <c r="I422" s="39"/>
      <c r="J422" s="39"/>
      <c r="K422" s="39"/>
      <c r="L422" s="100"/>
      <c r="N422" s="39"/>
      <c r="O422" s="39"/>
      <c r="P422" s="39"/>
      <c r="Q422" s="39"/>
      <c r="R422" s="39"/>
      <c r="S422" s="39"/>
      <c r="T422" s="39"/>
      <c r="U422" s="39"/>
      <c r="V422" s="39"/>
      <c r="W422" s="39"/>
      <c r="Y422" s="39"/>
      <c r="Z422" s="39"/>
      <c r="AA422" s="39"/>
      <c r="AB422" s="39"/>
      <c r="AC422" s="39"/>
      <c r="AD422" s="39"/>
      <c r="AE422" s="39"/>
      <c r="AF422" s="39"/>
      <c r="AG422" s="39"/>
      <c r="AH422" s="39"/>
      <c r="AI422" s="39"/>
      <c r="AJ422" s="423"/>
      <c r="AK422" s="39"/>
      <c r="AL422" s="423"/>
      <c r="AM422" s="39"/>
      <c r="AN422" s="39"/>
      <c r="AO422" s="39"/>
      <c r="AP422" s="39"/>
    </row>
    <row r="423" spans="2:42">
      <c r="B423" s="39"/>
      <c r="C423" s="39"/>
      <c r="D423" s="39"/>
      <c r="E423" s="39"/>
      <c r="F423" s="39"/>
      <c r="G423" s="39"/>
      <c r="H423" s="39"/>
      <c r="I423" s="39"/>
      <c r="J423" s="39"/>
      <c r="K423" s="39"/>
      <c r="L423" s="100"/>
      <c r="N423" s="39"/>
      <c r="O423" s="39"/>
      <c r="P423" s="39"/>
      <c r="Q423" s="39"/>
      <c r="R423" s="39"/>
      <c r="S423" s="39"/>
      <c r="T423" s="39"/>
      <c r="U423" s="39"/>
      <c r="V423" s="39"/>
      <c r="W423" s="39"/>
      <c r="Y423" s="39"/>
      <c r="Z423" s="39"/>
      <c r="AA423" s="39"/>
      <c r="AB423" s="39"/>
      <c r="AC423" s="39"/>
      <c r="AD423" s="39"/>
      <c r="AE423" s="39"/>
      <c r="AF423" s="39"/>
      <c r="AG423" s="39"/>
      <c r="AH423" s="39"/>
      <c r="AI423" s="39"/>
      <c r="AJ423" s="423"/>
      <c r="AK423" s="39"/>
      <c r="AL423" s="423"/>
      <c r="AM423" s="39"/>
      <c r="AN423" s="39"/>
      <c r="AO423" s="39"/>
      <c r="AP423" s="39"/>
    </row>
    <row r="424" spans="2:42">
      <c r="B424" s="39"/>
      <c r="C424" s="39"/>
      <c r="D424" s="39"/>
      <c r="E424" s="39"/>
      <c r="F424" s="39"/>
      <c r="G424" s="39"/>
      <c r="H424" s="39"/>
      <c r="I424" s="39"/>
      <c r="J424" s="39"/>
      <c r="K424" s="39"/>
      <c r="L424" s="100"/>
      <c r="N424" s="39"/>
      <c r="O424" s="39"/>
      <c r="P424" s="39"/>
      <c r="Q424" s="39"/>
      <c r="R424" s="39"/>
      <c r="S424" s="39"/>
      <c r="T424" s="39"/>
      <c r="U424" s="39"/>
      <c r="V424" s="39"/>
      <c r="W424" s="39"/>
      <c r="Y424" s="39"/>
      <c r="Z424" s="39"/>
      <c r="AA424" s="39"/>
      <c r="AB424" s="39"/>
      <c r="AC424" s="39"/>
      <c r="AD424" s="39"/>
      <c r="AE424" s="39"/>
      <c r="AF424" s="39"/>
      <c r="AG424" s="39"/>
      <c r="AH424" s="39"/>
      <c r="AI424" s="39"/>
      <c r="AJ424" s="423"/>
      <c r="AK424" s="39"/>
      <c r="AL424" s="423"/>
      <c r="AM424" s="39"/>
      <c r="AN424" s="39"/>
      <c r="AO424" s="39"/>
      <c r="AP424" s="39"/>
    </row>
    <row r="425" spans="2:42">
      <c r="B425" s="39"/>
      <c r="C425" s="39"/>
      <c r="D425" s="39"/>
      <c r="E425" s="39"/>
      <c r="F425" s="39"/>
      <c r="G425" s="39"/>
      <c r="H425" s="39"/>
      <c r="I425" s="39"/>
      <c r="J425" s="39"/>
      <c r="K425" s="39"/>
      <c r="L425" s="100"/>
      <c r="N425" s="39"/>
      <c r="O425" s="39"/>
      <c r="P425" s="39"/>
      <c r="Q425" s="39"/>
      <c r="R425" s="39"/>
      <c r="S425" s="39"/>
      <c r="T425" s="39"/>
      <c r="U425" s="39"/>
      <c r="V425" s="39"/>
      <c r="W425" s="39"/>
      <c r="Y425" s="39"/>
      <c r="Z425" s="39"/>
      <c r="AA425" s="39"/>
      <c r="AB425" s="39"/>
      <c r="AC425" s="39"/>
      <c r="AD425" s="39"/>
      <c r="AE425" s="39"/>
      <c r="AF425" s="39"/>
      <c r="AG425" s="39"/>
      <c r="AH425" s="39"/>
      <c r="AI425" s="39"/>
      <c r="AJ425" s="423"/>
      <c r="AK425" s="39"/>
      <c r="AL425" s="423"/>
      <c r="AM425" s="39"/>
      <c r="AN425" s="39"/>
      <c r="AO425" s="39"/>
      <c r="AP425" s="39"/>
    </row>
    <row r="426" spans="2:42">
      <c r="B426" s="39"/>
      <c r="C426" s="39"/>
      <c r="D426" s="39"/>
      <c r="E426" s="39"/>
      <c r="F426" s="39"/>
      <c r="G426" s="39"/>
      <c r="H426" s="39"/>
      <c r="I426" s="39"/>
      <c r="J426" s="39"/>
      <c r="K426" s="39"/>
      <c r="L426" s="100"/>
      <c r="N426" s="39"/>
      <c r="O426" s="39"/>
      <c r="P426" s="39"/>
      <c r="Q426" s="39"/>
      <c r="R426" s="39"/>
      <c r="S426" s="39"/>
      <c r="T426" s="39"/>
      <c r="U426" s="39"/>
      <c r="V426" s="39"/>
      <c r="W426" s="39"/>
      <c r="Y426" s="39"/>
      <c r="Z426" s="39"/>
      <c r="AA426" s="39"/>
      <c r="AB426" s="39"/>
      <c r="AC426" s="39"/>
      <c r="AD426" s="39"/>
      <c r="AE426" s="39"/>
      <c r="AF426" s="39"/>
      <c r="AG426" s="39"/>
      <c r="AH426" s="39"/>
      <c r="AI426" s="39"/>
      <c r="AJ426" s="423"/>
      <c r="AK426" s="39"/>
      <c r="AL426" s="423"/>
      <c r="AM426" s="39"/>
      <c r="AN426" s="39"/>
      <c r="AO426" s="39"/>
      <c r="AP426" s="39"/>
    </row>
    <row r="427" spans="2:42">
      <c r="B427" s="39"/>
      <c r="C427" s="39"/>
      <c r="D427" s="39"/>
      <c r="E427" s="39"/>
      <c r="F427" s="39"/>
      <c r="G427" s="39"/>
      <c r="H427" s="39"/>
      <c r="I427" s="39"/>
      <c r="J427" s="39"/>
      <c r="K427" s="39"/>
      <c r="L427" s="100"/>
      <c r="N427" s="39"/>
      <c r="O427" s="39"/>
      <c r="P427" s="39"/>
      <c r="Q427" s="39"/>
      <c r="R427" s="39"/>
      <c r="S427" s="39"/>
      <c r="T427" s="39"/>
      <c r="U427" s="39"/>
      <c r="V427" s="39"/>
      <c r="W427" s="39"/>
      <c r="Y427" s="39"/>
      <c r="Z427" s="39"/>
      <c r="AA427" s="39"/>
      <c r="AB427" s="39"/>
      <c r="AC427" s="39"/>
      <c r="AD427" s="39"/>
      <c r="AE427" s="39"/>
      <c r="AF427" s="39"/>
      <c r="AG427" s="39"/>
      <c r="AH427" s="39"/>
      <c r="AI427" s="39"/>
      <c r="AJ427" s="423"/>
      <c r="AK427" s="39"/>
      <c r="AL427" s="423"/>
      <c r="AM427" s="39"/>
      <c r="AN427" s="39"/>
      <c r="AO427" s="39"/>
      <c r="AP427" s="39"/>
    </row>
    <row r="428" spans="2:42">
      <c r="B428" s="39"/>
      <c r="C428" s="39"/>
      <c r="D428" s="39"/>
      <c r="E428" s="39"/>
      <c r="F428" s="39"/>
      <c r="G428" s="39"/>
      <c r="H428" s="39"/>
      <c r="I428" s="39"/>
      <c r="J428" s="39"/>
      <c r="K428" s="39"/>
      <c r="L428" s="100"/>
      <c r="N428" s="39"/>
      <c r="O428" s="39"/>
      <c r="P428" s="39"/>
      <c r="Q428" s="39"/>
      <c r="R428" s="39"/>
      <c r="S428" s="39"/>
      <c r="T428" s="39"/>
      <c r="U428" s="39"/>
      <c r="V428" s="39"/>
      <c r="W428" s="39"/>
      <c r="Y428" s="39"/>
      <c r="Z428" s="39"/>
      <c r="AA428" s="39"/>
      <c r="AB428" s="39"/>
      <c r="AC428" s="39"/>
      <c r="AD428" s="39"/>
      <c r="AE428" s="39"/>
      <c r="AF428" s="39"/>
      <c r="AG428" s="39"/>
      <c r="AH428" s="39"/>
      <c r="AI428" s="39"/>
      <c r="AJ428" s="423"/>
      <c r="AK428" s="39"/>
      <c r="AL428" s="423"/>
      <c r="AM428" s="39"/>
      <c r="AN428" s="39"/>
      <c r="AO428" s="39"/>
      <c r="AP428" s="39"/>
    </row>
    <row r="429" spans="2:42">
      <c r="B429" s="39"/>
      <c r="C429" s="39"/>
      <c r="D429" s="39"/>
      <c r="E429" s="39"/>
      <c r="F429" s="39"/>
      <c r="G429" s="39"/>
      <c r="H429" s="39"/>
      <c r="I429" s="39"/>
      <c r="J429" s="39"/>
      <c r="K429" s="39"/>
      <c r="L429" s="100"/>
      <c r="N429" s="39"/>
      <c r="O429" s="39"/>
      <c r="P429" s="39"/>
      <c r="Q429" s="39"/>
      <c r="R429" s="39"/>
      <c r="S429" s="39"/>
      <c r="T429" s="39"/>
      <c r="U429" s="39"/>
      <c r="V429" s="39"/>
      <c r="W429" s="39"/>
      <c r="Y429" s="39"/>
      <c r="Z429" s="39"/>
      <c r="AA429" s="39"/>
      <c r="AB429" s="39"/>
      <c r="AC429" s="39"/>
      <c r="AD429" s="39"/>
      <c r="AE429" s="39"/>
      <c r="AF429" s="39"/>
      <c r="AG429" s="39"/>
      <c r="AH429" s="39"/>
      <c r="AI429" s="39"/>
      <c r="AJ429" s="423"/>
      <c r="AK429" s="39"/>
      <c r="AL429" s="423"/>
      <c r="AM429" s="39"/>
      <c r="AN429" s="39"/>
      <c r="AO429" s="39"/>
      <c r="AP429" s="39"/>
    </row>
    <row r="430" spans="2:42">
      <c r="B430" s="39"/>
      <c r="C430" s="39"/>
      <c r="D430" s="39"/>
      <c r="E430" s="39"/>
      <c r="F430" s="39"/>
      <c r="G430" s="39"/>
      <c r="H430" s="39"/>
      <c r="I430" s="39"/>
      <c r="J430" s="39"/>
      <c r="K430" s="39"/>
      <c r="L430" s="100"/>
      <c r="N430" s="39"/>
      <c r="O430" s="39"/>
      <c r="P430" s="39"/>
      <c r="Q430" s="39"/>
      <c r="R430" s="39"/>
      <c r="S430" s="39"/>
      <c r="T430" s="39"/>
      <c r="U430" s="39"/>
      <c r="V430" s="39"/>
      <c r="W430" s="39"/>
      <c r="Y430" s="39"/>
      <c r="Z430" s="39"/>
      <c r="AA430" s="39"/>
      <c r="AB430" s="39"/>
      <c r="AC430" s="39"/>
      <c r="AD430" s="39"/>
      <c r="AE430" s="39"/>
      <c r="AF430" s="39"/>
      <c r="AG430" s="39"/>
      <c r="AH430" s="39"/>
      <c r="AI430" s="39"/>
      <c r="AJ430" s="423"/>
      <c r="AK430" s="39"/>
      <c r="AL430" s="423"/>
      <c r="AM430" s="39"/>
      <c r="AN430" s="39"/>
      <c r="AO430" s="39"/>
      <c r="AP430" s="39"/>
    </row>
    <row r="431" spans="2:42">
      <c r="B431" s="39"/>
      <c r="C431" s="39"/>
      <c r="D431" s="39"/>
      <c r="E431" s="39"/>
      <c r="F431" s="39"/>
      <c r="G431" s="39"/>
      <c r="H431" s="39"/>
      <c r="I431" s="39"/>
      <c r="J431" s="39"/>
      <c r="K431" s="39"/>
      <c r="L431" s="100"/>
      <c r="N431" s="39"/>
      <c r="O431" s="39"/>
      <c r="P431" s="39"/>
      <c r="Q431" s="39"/>
      <c r="R431" s="39"/>
      <c r="S431" s="39"/>
      <c r="T431" s="39"/>
      <c r="U431" s="39"/>
      <c r="V431" s="39"/>
      <c r="W431" s="39"/>
      <c r="Y431" s="39"/>
      <c r="Z431" s="39"/>
      <c r="AA431" s="39"/>
      <c r="AB431" s="39"/>
      <c r="AC431" s="39"/>
      <c r="AD431" s="39"/>
      <c r="AE431" s="39"/>
      <c r="AF431" s="39"/>
      <c r="AG431" s="39"/>
      <c r="AH431" s="39"/>
      <c r="AI431" s="39"/>
      <c r="AJ431" s="423"/>
      <c r="AK431" s="39"/>
      <c r="AL431" s="423"/>
      <c r="AM431" s="39"/>
      <c r="AN431" s="39"/>
      <c r="AO431" s="39"/>
      <c r="AP431" s="39"/>
    </row>
    <row r="432" spans="2:42">
      <c r="B432" s="39"/>
      <c r="C432" s="39"/>
      <c r="D432" s="39"/>
      <c r="E432" s="39"/>
      <c r="F432" s="39"/>
      <c r="G432" s="39"/>
      <c r="H432" s="39"/>
      <c r="I432" s="39"/>
      <c r="J432" s="39"/>
      <c r="K432" s="39"/>
      <c r="L432" s="100"/>
      <c r="N432" s="39"/>
      <c r="O432" s="39"/>
      <c r="P432" s="39"/>
      <c r="Q432" s="39"/>
      <c r="R432" s="39"/>
      <c r="S432" s="39"/>
      <c r="T432" s="39"/>
      <c r="U432" s="39"/>
      <c r="V432" s="39"/>
      <c r="W432" s="39"/>
      <c r="Y432" s="39"/>
      <c r="Z432" s="39"/>
      <c r="AA432" s="39"/>
      <c r="AB432" s="39"/>
      <c r="AC432" s="39"/>
      <c r="AD432" s="39"/>
      <c r="AE432" s="39"/>
      <c r="AF432" s="39"/>
      <c r="AG432" s="39"/>
      <c r="AH432" s="39"/>
      <c r="AI432" s="39"/>
      <c r="AJ432" s="423"/>
      <c r="AK432" s="39"/>
      <c r="AL432" s="423"/>
      <c r="AM432" s="39"/>
      <c r="AN432" s="39"/>
      <c r="AO432" s="39"/>
      <c r="AP432" s="39"/>
    </row>
    <row r="433" spans="2:42">
      <c r="B433" s="39"/>
      <c r="C433" s="39"/>
      <c r="D433" s="39"/>
      <c r="E433" s="39"/>
      <c r="F433" s="39"/>
      <c r="G433" s="39"/>
      <c r="H433" s="39"/>
      <c r="I433" s="39"/>
      <c r="J433" s="39"/>
      <c r="K433" s="39"/>
      <c r="L433" s="100"/>
      <c r="N433" s="39"/>
      <c r="O433" s="39"/>
      <c r="P433" s="39"/>
      <c r="Q433" s="39"/>
      <c r="R433" s="39"/>
      <c r="S433" s="39"/>
      <c r="T433" s="39"/>
      <c r="U433" s="39"/>
      <c r="V433" s="39"/>
      <c r="W433" s="39"/>
      <c r="Y433" s="39"/>
      <c r="Z433" s="39"/>
      <c r="AA433" s="39"/>
      <c r="AB433" s="39"/>
      <c r="AC433" s="39"/>
      <c r="AD433" s="39"/>
      <c r="AE433" s="39"/>
      <c r="AF433" s="39"/>
      <c r="AG433" s="39"/>
      <c r="AH433" s="39"/>
      <c r="AI433" s="39"/>
      <c r="AJ433" s="423"/>
      <c r="AK433" s="39"/>
      <c r="AL433" s="423"/>
      <c r="AM433" s="39"/>
      <c r="AN433" s="39"/>
      <c r="AO433" s="39"/>
      <c r="AP433" s="39"/>
    </row>
    <row r="434" spans="2:42">
      <c r="B434" s="39"/>
      <c r="C434" s="39"/>
      <c r="D434" s="39"/>
      <c r="E434" s="39"/>
      <c r="F434" s="39"/>
      <c r="G434" s="39"/>
      <c r="H434" s="39"/>
      <c r="I434" s="39"/>
      <c r="J434" s="39"/>
      <c r="K434" s="39"/>
      <c r="L434" s="100"/>
      <c r="N434" s="39"/>
      <c r="O434" s="39"/>
      <c r="P434" s="39"/>
      <c r="Q434" s="39"/>
      <c r="R434" s="39"/>
      <c r="S434" s="39"/>
      <c r="T434" s="39"/>
      <c r="U434" s="39"/>
      <c r="V434" s="39"/>
      <c r="W434" s="39"/>
      <c r="Y434" s="39"/>
      <c r="Z434" s="39"/>
      <c r="AA434" s="39"/>
      <c r="AB434" s="39"/>
      <c r="AC434" s="39"/>
      <c r="AD434" s="39"/>
      <c r="AE434" s="39"/>
      <c r="AF434" s="39"/>
      <c r="AG434" s="39"/>
      <c r="AH434" s="39"/>
      <c r="AI434" s="39"/>
      <c r="AJ434" s="423"/>
      <c r="AK434" s="39"/>
      <c r="AL434" s="423"/>
      <c r="AM434" s="39"/>
      <c r="AN434" s="39"/>
      <c r="AO434" s="39"/>
      <c r="AP434" s="39"/>
    </row>
    <row r="435" spans="2:42">
      <c r="B435" s="39"/>
      <c r="C435" s="39"/>
      <c r="D435" s="39"/>
      <c r="E435" s="39"/>
      <c r="F435" s="39"/>
      <c r="G435" s="39"/>
      <c r="H435" s="39"/>
      <c r="I435" s="39"/>
      <c r="J435" s="39"/>
      <c r="K435" s="39"/>
      <c r="L435" s="100"/>
      <c r="N435" s="39"/>
      <c r="O435" s="39"/>
      <c r="P435" s="39"/>
      <c r="Q435" s="39"/>
      <c r="R435" s="39"/>
      <c r="S435" s="39"/>
      <c r="T435" s="39"/>
      <c r="U435" s="39"/>
      <c r="V435" s="39"/>
      <c r="W435" s="39"/>
      <c r="Y435" s="39"/>
      <c r="Z435" s="39"/>
      <c r="AA435" s="39"/>
      <c r="AB435" s="39"/>
      <c r="AC435" s="39"/>
      <c r="AD435" s="39"/>
      <c r="AE435" s="39"/>
      <c r="AF435" s="39"/>
      <c r="AG435" s="39"/>
      <c r="AH435" s="39"/>
      <c r="AI435" s="39"/>
      <c r="AJ435" s="423"/>
      <c r="AK435" s="39"/>
      <c r="AL435" s="423"/>
      <c r="AM435" s="39"/>
      <c r="AN435" s="39"/>
      <c r="AO435" s="39"/>
      <c r="AP435" s="39"/>
    </row>
    <row r="436" spans="2:42">
      <c r="B436" s="39"/>
      <c r="C436" s="39"/>
      <c r="D436" s="39"/>
      <c r="E436" s="39"/>
      <c r="F436" s="39"/>
      <c r="G436" s="39"/>
      <c r="H436" s="39"/>
      <c r="I436" s="39"/>
      <c r="J436" s="39"/>
      <c r="K436" s="39"/>
      <c r="L436" s="100"/>
      <c r="N436" s="39"/>
      <c r="O436" s="39"/>
      <c r="P436" s="39"/>
      <c r="Q436" s="39"/>
      <c r="R436" s="39"/>
      <c r="S436" s="39"/>
      <c r="T436" s="39"/>
      <c r="U436" s="39"/>
      <c r="V436" s="39"/>
      <c r="W436" s="39"/>
      <c r="Y436" s="39"/>
      <c r="Z436" s="39"/>
      <c r="AA436" s="39"/>
      <c r="AB436" s="39"/>
      <c r="AC436" s="39"/>
      <c r="AD436" s="39"/>
      <c r="AE436" s="39"/>
      <c r="AF436" s="39"/>
      <c r="AG436" s="39"/>
      <c r="AH436" s="39"/>
      <c r="AI436" s="39"/>
      <c r="AJ436" s="423"/>
      <c r="AK436" s="39"/>
      <c r="AL436" s="423"/>
      <c r="AM436" s="39"/>
      <c r="AN436" s="39"/>
      <c r="AO436" s="39"/>
      <c r="AP436" s="39"/>
    </row>
    <row r="437" spans="2:42">
      <c r="B437" s="39"/>
      <c r="C437" s="39"/>
      <c r="D437" s="39"/>
      <c r="E437" s="39"/>
      <c r="F437" s="39"/>
      <c r="G437" s="39"/>
      <c r="H437" s="39"/>
      <c r="I437" s="39"/>
      <c r="J437" s="39"/>
      <c r="K437" s="39"/>
      <c r="L437" s="100"/>
      <c r="N437" s="39"/>
      <c r="O437" s="39"/>
      <c r="P437" s="39"/>
      <c r="Q437" s="39"/>
      <c r="R437" s="39"/>
      <c r="S437" s="39"/>
      <c r="T437" s="39"/>
      <c r="U437" s="39"/>
      <c r="V437" s="39"/>
      <c r="W437" s="39"/>
      <c r="Y437" s="39"/>
      <c r="Z437" s="39"/>
      <c r="AA437" s="39"/>
      <c r="AB437" s="39"/>
      <c r="AC437" s="39"/>
      <c r="AD437" s="39"/>
      <c r="AE437" s="39"/>
      <c r="AF437" s="39"/>
      <c r="AG437" s="39"/>
      <c r="AH437" s="39"/>
      <c r="AI437" s="39"/>
      <c r="AJ437" s="423"/>
      <c r="AK437" s="39"/>
      <c r="AL437" s="423"/>
      <c r="AM437" s="39"/>
      <c r="AN437" s="39"/>
      <c r="AO437" s="39"/>
      <c r="AP437" s="39"/>
    </row>
    <row r="438" spans="2:42">
      <c r="B438" s="39"/>
      <c r="C438" s="39"/>
      <c r="D438" s="39"/>
      <c r="E438" s="39"/>
      <c r="F438" s="39"/>
      <c r="G438" s="39"/>
      <c r="H438" s="39"/>
      <c r="I438" s="39"/>
      <c r="J438" s="39"/>
      <c r="K438" s="39"/>
      <c r="L438" s="100"/>
      <c r="N438" s="39"/>
      <c r="O438" s="39"/>
      <c r="P438" s="39"/>
      <c r="Q438" s="39"/>
      <c r="R438" s="39"/>
      <c r="S438" s="39"/>
      <c r="T438" s="39"/>
      <c r="U438" s="39"/>
      <c r="V438" s="39"/>
      <c r="W438" s="39"/>
      <c r="Y438" s="39"/>
      <c r="Z438" s="39"/>
      <c r="AA438" s="39"/>
      <c r="AB438" s="39"/>
      <c r="AC438" s="39"/>
      <c r="AD438" s="39"/>
      <c r="AE438" s="39"/>
      <c r="AF438" s="39"/>
      <c r="AG438" s="39"/>
      <c r="AH438" s="39"/>
      <c r="AI438" s="39"/>
      <c r="AJ438" s="423"/>
      <c r="AK438" s="39"/>
      <c r="AL438" s="423"/>
      <c r="AM438" s="39"/>
      <c r="AN438" s="39"/>
      <c r="AO438" s="39"/>
      <c r="AP438" s="39"/>
    </row>
    <row r="439" spans="2:42">
      <c r="B439" s="39"/>
      <c r="C439" s="39"/>
      <c r="D439" s="39"/>
      <c r="E439" s="39"/>
      <c r="F439" s="39"/>
      <c r="G439" s="39"/>
      <c r="H439" s="39"/>
      <c r="I439" s="39"/>
      <c r="J439" s="39"/>
      <c r="K439" s="39"/>
      <c r="L439" s="100"/>
      <c r="N439" s="39"/>
      <c r="O439" s="39"/>
      <c r="P439" s="39"/>
      <c r="Q439" s="39"/>
      <c r="R439" s="39"/>
      <c r="S439" s="39"/>
      <c r="T439" s="39"/>
      <c r="U439" s="39"/>
      <c r="V439" s="39"/>
      <c r="W439" s="39"/>
      <c r="Y439" s="39"/>
      <c r="Z439" s="39"/>
      <c r="AA439" s="39"/>
      <c r="AB439" s="39"/>
      <c r="AC439" s="39"/>
      <c r="AD439" s="39"/>
      <c r="AE439" s="39"/>
      <c r="AF439" s="39"/>
      <c r="AG439" s="39"/>
      <c r="AH439" s="39"/>
      <c r="AI439" s="39"/>
      <c r="AJ439" s="423"/>
      <c r="AK439" s="39"/>
      <c r="AL439" s="423"/>
      <c r="AM439" s="39"/>
      <c r="AN439" s="39"/>
      <c r="AO439" s="39"/>
      <c r="AP439" s="39"/>
    </row>
    <row r="440" spans="2:42">
      <c r="B440" s="39"/>
      <c r="C440" s="39"/>
      <c r="D440" s="39"/>
      <c r="E440" s="39"/>
      <c r="F440" s="39"/>
      <c r="G440" s="39"/>
      <c r="H440" s="39"/>
      <c r="I440" s="39"/>
      <c r="J440" s="39"/>
      <c r="K440" s="39"/>
      <c r="L440" s="100"/>
      <c r="N440" s="39"/>
      <c r="O440" s="39"/>
      <c r="P440" s="39"/>
      <c r="Q440" s="39"/>
      <c r="R440" s="39"/>
      <c r="S440" s="39"/>
      <c r="T440" s="39"/>
      <c r="U440" s="39"/>
      <c r="V440" s="39"/>
      <c r="W440" s="39"/>
      <c r="Y440" s="39"/>
      <c r="Z440" s="39"/>
      <c r="AA440" s="39"/>
      <c r="AB440" s="39"/>
      <c r="AC440" s="39"/>
      <c r="AD440" s="39"/>
      <c r="AE440" s="39"/>
      <c r="AF440" s="39"/>
      <c r="AG440" s="39"/>
      <c r="AH440" s="39"/>
      <c r="AI440" s="39"/>
      <c r="AJ440" s="423"/>
      <c r="AK440" s="39"/>
      <c r="AL440" s="423"/>
      <c r="AM440" s="39"/>
      <c r="AN440" s="39"/>
      <c r="AO440" s="39"/>
      <c r="AP440" s="39"/>
    </row>
    <row r="441" spans="2:42">
      <c r="B441" s="39"/>
      <c r="C441" s="39"/>
      <c r="D441" s="39"/>
      <c r="E441" s="39"/>
      <c r="F441" s="39"/>
      <c r="G441" s="39"/>
      <c r="H441" s="39"/>
      <c r="I441" s="39"/>
      <c r="J441" s="39"/>
      <c r="K441" s="39"/>
      <c r="L441" s="100"/>
      <c r="N441" s="39"/>
      <c r="O441" s="39"/>
      <c r="P441" s="39"/>
      <c r="Q441" s="39"/>
      <c r="R441" s="39"/>
      <c r="S441" s="39"/>
      <c r="T441" s="39"/>
      <c r="U441" s="39"/>
      <c r="V441" s="39"/>
      <c r="W441" s="39"/>
      <c r="Y441" s="39"/>
      <c r="Z441" s="39"/>
      <c r="AA441" s="39"/>
      <c r="AB441" s="39"/>
      <c r="AC441" s="39"/>
      <c r="AD441" s="39"/>
      <c r="AE441" s="39"/>
      <c r="AF441" s="39"/>
      <c r="AG441" s="39"/>
      <c r="AH441" s="39"/>
      <c r="AI441" s="39"/>
      <c r="AJ441" s="423"/>
      <c r="AK441" s="39"/>
      <c r="AL441" s="423"/>
      <c r="AM441" s="39"/>
      <c r="AN441" s="39"/>
      <c r="AO441" s="39"/>
      <c r="AP441" s="39"/>
    </row>
    <row r="442" spans="2:42">
      <c r="B442" s="39"/>
      <c r="C442" s="39"/>
      <c r="D442" s="39"/>
      <c r="E442" s="39"/>
      <c r="F442" s="39"/>
      <c r="G442" s="39"/>
      <c r="H442" s="39"/>
      <c r="I442" s="39"/>
      <c r="J442" s="39"/>
      <c r="K442" s="39"/>
      <c r="L442" s="100"/>
      <c r="N442" s="39"/>
      <c r="O442" s="39"/>
      <c r="P442" s="39"/>
      <c r="Q442" s="39"/>
      <c r="R442" s="39"/>
      <c r="S442" s="39"/>
      <c r="T442" s="39"/>
      <c r="U442" s="39"/>
      <c r="V442" s="39"/>
      <c r="W442" s="39"/>
      <c r="Y442" s="39"/>
      <c r="Z442" s="39"/>
      <c r="AA442" s="39"/>
      <c r="AB442" s="39"/>
      <c r="AC442" s="39"/>
      <c r="AD442" s="39"/>
      <c r="AE442" s="39"/>
      <c r="AF442" s="39"/>
      <c r="AG442" s="39"/>
      <c r="AH442" s="39"/>
      <c r="AI442" s="39"/>
      <c r="AJ442" s="423"/>
      <c r="AK442" s="39"/>
      <c r="AL442" s="423"/>
      <c r="AM442" s="39"/>
      <c r="AN442" s="39"/>
      <c r="AO442" s="39"/>
      <c r="AP442" s="39"/>
    </row>
    <row r="443" spans="2:42">
      <c r="B443" s="39"/>
      <c r="C443" s="39"/>
      <c r="D443" s="39"/>
      <c r="E443" s="39"/>
      <c r="F443" s="39"/>
      <c r="G443" s="39"/>
      <c r="H443" s="39"/>
      <c r="I443" s="39"/>
      <c r="J443" s="39"/>
      <c r="K443" s="39"/>
      <c r="L443" s="100"/>
      <c r="N443" s="39"/>
      <c r="O443" s="39"/>
      <c r="P443" s="39"/>
      <c r="Q443" s="39"/>
      <c r="R443" s="39"/>
      <c r="S443" s="39"/>
      <c r="T443" s="39"/>
      <c r="U443" s="39"/>
      <c r="V443" s="39"/>
      <c r="W443" s="39"/>
      <c r="Y443" s="39"/>
      <c r="Z443" s="39"/>
      <c r="AA443" s="39"/>
      <c r="AB443" s="39"/>
      <c r="AC443" s="39"/>
      <c r="AD443" s="39"/>
      <c r="AE443" s="39"/>
      <c r="AF443" s="39"/>
      <c r="AG443" s="39"/>
      <c r="AH443" s="39"/>
      <c r="AI443" s="39"/>
      <c r="AJ443" s="423"/>
      <c r="AK443" s="39"/>
      <c r="AL443" s="423"/>
      <c r="AM443" s="39"/>
      <c r="AN443" s="39"/>
      <c r="AO443" s="39"/>
      <c r="AP443" s="39"/>
    </row>
    <row r="444" spans="2:42">
      <c r="B444" s="39"/>
      <c r="C444" s="39"/>
      <c r="D444" s="39"/>
      <c r="E444" s="39"/>
      <c r="F444" s="39"/>
      <c r="G444" s="39"/>
      <c r="H444" s="39"/>
      <c r="I444" s="39"/>
      <c r="J444" s="39"/>
      <c r="K444" s="39"/>
      <c r="L444" s="100"/>
      <c r="N444" s="39"/>
      <c r="O444" s="39"/>
      <c r="P444" s="39"/>
      <c r="Q444" s="39"/>
      <c r="R444" s="39"/>
      <c r="S444" s="39"/>
      <c r="T444" s="39"/>
      <c r="U444" s="39"/>
      <c r="V444" s="39"/>
      <c r="W444" s="39"/>
      <c r="Y444" s="39"/>
      <c r="Z444" s="39"/>
      <c r="AA444" s="39"/>
      <c r="AB444" s="39"/>
      <c r="AC444" s="39"/>
      <c r="AD444" s="39"/>
      <c r="AE444" s="39"/>
      <c r="AF444" s="39"/>
      <c r="AG444" s="39"/>
      <c r="AH444" s="39"/>
      <c r="AI444" s="39"/>
      <c r="AJ444" s="423"/>
      <c r="AK444" s="39"/>
      <c r="AL444" s="423"/>
      <c r="AM444" s="39"/>
      <c r="AN444" s="39"/>
      <c r="AO444" s="39"/>
      <c r="AP444" s="39"/>
    </row>
    <row r="445" spans="2:42">
      <c r="B445" s="39"/>
      <c r="C445" s="39"/>
      <c r="D445" s="39"/>
      <c r="E445" s="39"/>
      <c r="F445" s="39"/>
      <c r="G445" s="39"/>
      <c r="H445" s="39"/>
      <c r="I445" s="39"/>
      <c r="J445" s="39"/>
      <c r="K445" s="39"/>
      <c r="L445" s="100"/>
      <c r="N445" s="39"/>
      <c r="O445" s="39"/>
      <c r="P445" s="39"/>
      <c r="Q445" s="39"/>
      <c r="R445" s="39"/>
      <c r="S445" s="39"/>
      <c r="T445" s="39"/>
      <c r="U445" s="39"/>
      <c r="V445" s="39"/>
      <c r="W445" s="39"/>
      <c r="Y445" s="39"/>
      <c r="Z445" s="39"/>
      <c r="AA445" s="39"/>
      <c r="AB445" s="39"/>
      <c r="AC445" s="39"/>
      <c r="AD445" s="39"/>
      <c r="AE445" s="39"/>
      <c r="AF445" s="39"/>
      <c r="AG445" s="39"/>
      <c r="AH445" s="39"/>
      <c r="AI445" s="39"/>
      <c r="AJ445" s="423"/>
      <c r="AK445" s="39"/>
      <c r="AL445" s="423"/>
      <c r="AM445" s="39"/>
      <c r="AN445" s="39"/>
      <c r="AO445" s="39"/>
      <c r="AP445" s="39"/>
    </row>
    <row r="446" spans="2:42">
      <c r="B446" s="39"/>
      <c r="C446" s="39"/>
      <c r="D446" s="39"/>
      <c r="E446" s="39"/>
      <c r="F446" s="39"/>
      <c r="G446" s="39"/>
      <c r="H446" s="39"/>
      <c r="I446" s="39"/>
      <c r="J446" s="39"/>
      <c r="K446" s="39"/>
      <c r="L446" s="100"/>
      <c r="N446" s="39"/>
      <c r="O446" s="39"/>
      <c r="P446" s="39"/>
      <c r="Q446" s="39"/>
      <c r="R446" s="39"/>
      <c r="S446" s="39"/>
      <c r="T446" s="39"/>
      <c r="U446" s="39"/>
      <c r="V446" s="39"/>
      <c r="W446" s="39"/>
      <c r="Y446" s="39"/>
      <c r="Z446" s="39"/>
      <c r="AA446" s="39"/>
      <c r="AB446" s="39"/>
      <c r="AC446" s="39"/>
      <c r="AD446" s="39"/>
      <c r="AE446" s="39"/>
      <c r="AF446" s="39"/>
      <c r="AG446" s="39"/>
      <c r="AH446" s="39"/>
      <c r="AI446" s="39"/>
      <c r="AJ446" s="423"/>
      <c r="AK446" s="39"/>
      <c r="AL446" s="423"/>
      <c r="AM446" s="39"/>
      <c r="AN446" s="39"/>
      <c r="AO446" s="39"/>
      <c r="AP446" s="39"/>
    </row>
    <row r="447" spans="2:42">
      <c r="B447" s="39"/>
      <c r="C447" s="39"/>
      <c r="D447" s="39"/>
      <c r="E447" s="39"/>
      <c r="F447" s="39"/>
      <c r="G447" s="39"/>
      <c r="H447" s="39"/>
      <c r="I447" s="39"/>
      <c r="J447" s="39"/>
      <c r="K447" s="39"/>
      <c r="L447" s="100"/>
      <c r="N447" s="39"/>
      <c r="O447" s="39"/>
      <c r="P447" s="39"/>
      <c r="Q447" s="39"/>
      <c r="R447" s="39"/>
      <c r="S447" s="39"/>
      <c r="T447" s="39"/>
      <c r="U447" s="39"/>
      <c r="V447" s="39"/>
      <c r="W447" s="39"/>
      <c r="Y447" s="39"/>
      <c r="Z447" s="39"/>
      <c r="AA447" s="39"/>
      <c r="AB447" s="39"/>
      <c r="AC447" s="39"/>
      <c r="AD447" s="39"/>
      <c r="AE447" s="39"/>
      <c r="AF447" s="39"/>
      <c r="AG447" s="39"/>
      <c r="AH447" s="39"/>
      <c r="AI447" s="39"/>
      <c r="AJ447" s="423"/>
      <c r="AK447" s="39"/>
      <c r="AL447" s="423"/>
      <c r="AM447" s="39"/>
      <c r="AN447" s="39"/>
      <c r="AO447" s="39"/>
      <c r="AP447" s="39"/>
    </row>
    <row r="448" spans="2:42">
      <c r="B448" s="39"/>
      <c r="C448" s="39"/>
      <c r="D448" s="39"/>
      <c r="E448" s="39"/>
      <c r="F448" s="39"/>
      <c r="G448" s="39"/>
      <c r="H448" s="39"/>
      <c r="I448" s="39"/>
      <c r="J448" s="39"/>
      <c r="K448" s="39"/>
      <c r="L448" s="100"/>
      <c r="N448" s="39"/>
      <c r="O448" s="39"/>
      <c r="P448" s="39"/>
      <c r="Q448" s="39"/>
      <c r="R448" s="39"/>
      <c r="S448" s="39"/>
      <c r="T448" s="39"/>
      <c r="U448" s="39"/>
      <c r="V448" s="39"/>
      <c r="W448" s="39"/>
      <c r="Y448" s="39"/>
      <c r="Z448" s="39"/>
      <c r="AA448" s="39"/>
      <c r="AB448" s="39"/>
      <c r="AC448" s="39"/>
      <c r="AD448" s="39"/>
      <c r="AE448" s="39"/>
      <c r="AF448" s="39"/>
      <c r="AG448" s="39"/>
      <c r="AH448" s="39"/>
      <c r="AI448" s="39"/>
      <c r="AJ448" s="423"/>
      <c r="AK448" s="39"/>
      <c r="AL448" s="423"/>
      <c r="AM448" s="39"/>
      <c r="AN448" s="39"/>
      <c r="AO448" s="39"/>
      <c r="AP448" s="39"/>
    </row>
    <row r="449" spans="2:42">
      <c r="B449" s="39"/>
      <c r="C449" s="39"/>
      <c r="D449" s="39"/>
      <c r="E449" s="39"/>
      <c r="F449" s="39"/>
      <c r="G449" s="39"/>
      <c r="H449" s="39"/>
      <c r="I449" s="39"/>
      <c r="J449" s="39"/>
      <c r="K449" s="39"/>
      <c r="L449" s="100"/>
      <c r="N449" s="39"/>
      <c r="O449" s="39"/>
      <c r="P449" s="39"/>
      <c r="Q449" s="39"/>
      <c r="R449" s="39"/>
      <c r="S449" s="39"/>
      <c r="T449" s="39"/>
      <c r="U449" s="39"/>
      <c r="V449" s="39"/>
      <c r="W449" s="39"/>
      <c r="Y449" s="39"/>
      <c r="Z449" s="39"/>
      <c r="AA449" s="39"/>
      <c r="AB449" s="39"/>
      <c r="AC449" s="39"/>
      <c r="AD449" s="39"/>
      <c r="AE449" s="39"/>
      <c r="AF449" s="39"/>
      <c r="AG449" s="39"/>
      <c r="AH449" s="39"/>
      <c r="AI449" s="39"/>
      <c r="AJ449" s="423"/>
      <c r="AK449" s="39"/>
      <c r="AL449" s="423"/>
      <c r="AM449" s="39"/>
      <c r="AN449" s="39"/>
      <c r="AO449" s="39"/>
      <c r="AP449" s="39"/>
    </row>
    <row r="450" spans="2:42">
      <c r="B450" s="39"/>
      <c r="C450" s="39"/>
      <c r="D450" s="39"/>
      <c r="E450" s="39"/>
      <c r="F450" s="39"/>
      <c r="G450" s="39"/>
      <c r="H450" s="39"/>
      <c r="I450" s="39"/>
      <c r="J450" s="39"/>
      <c r="K450" s="39"/>
      <c r="L450" s="100"/>
      <c r="N450" s="39"/>
      <c r="O450" s="39"/>
      <c r="P450" s="39"/>
      <c r="Q450" s="39"/>
      <c r="R450" s="39"/>
      <c r="S450" s="39"/>
      <c r="T450" s="39"/>
      <c r="U450" s="39"/>
      <c r="V450" s="39"/>
      <c r="W450" s="39"/>
      <c r="Y450" s="39"/>
      <c r="Z450" s="39"/>
      <c r="AA450" s="39"/>
      <c r="AB450" s="39"/>
      <c r="AC450" s="39"/>
      <c r="AD450" s="39"/>
      <c r="AE450" s="39"/>
      <c r="AF450" s="39"/>
      <c r="AG450" s="39"/>
      <c r="AH450" s="39"/>
      <c r="AI450" s="39"/>
      <c r="AJ450" s="423"/>
      <c r="AK450" s="39"/>
      <c r="AL450" s="423"/>
      <c r="AM450" s="39"/>
      <c r="AN450" s="39"/>
      <c r="AO450" s="39"/>
      <c r="AP450" s="39"/>
    </row>
    <row r="451" spans="2:42">
      <c r="B451" s="39"/>
      <c r="C451" s="39"/>
      <c r="D451" s="39"/>
      <c r="E451" s="39"/>
      <c r="F451" s="39"/>
      <c r="G451" s="39"/>
      <c r="H451" s="39"/>
      <c r="I451" s="39"/>
      <c r="J451" s="39"/>
      <c r="K451" s="39"/>
      <c r="L451" s="100"/>
      <c r="N451" s="39"/>
      <c r="O451" s="39"/>
      <c r="P451" s="39"/>
      <c r="Q451" s="39"/>
      <c r="R451" s="39"/>
      <c r="S451" s="39"/>
      <c r="T451" s="39"/>
      <c r="U451" s="39"/>
      <c r="V451" s="39"/>
      <c r="W451" s="39"/>
      <c r="Y451" s="39"/>
      <c r="Z451" s="39"/>
      <c r="AA451" s="39"/>
      <c r="AB451" s="39"/>
      <c r="AC451" s="39"/>
      <c r="AD451" s="39"/>
      <c r="AE451" s="39"/>
      <c r="AF451" s="39"/>
      <c r="AG451" s="39"/>
      <c r="AH451" s="39"/>
      <c r="AI451" s="39"/>
      <c r="AJ451" s="423"/>
      <c r="AK451" s="39"/>
      <c r="AL451" s="423"/>
      <c r="AM451" s="39"/>
      <c r="AN451" s="39"/>
      <c r="AO451" s="39"/>
      <c r="AP451" s="39"/>
    </row>
    <row r="452" spans="2:42">
      <c r="B452" s="39"/>
      <c r="C452" s="39"/>
      <c r="D452" s="39"/>
      <c r="E452" s="39"/>
      <c r="F452" s="39"/>
      <c r="G452" s="39"/>
      <c r="H452" s="39"/>
      <c r="I452" s="39"/>
      <c r="J452" s="39"/>
      <c r="K452" s="39"/>
      <c r="L452" s="100"/>
      <c r="N452" s="39"/>
      <c r="O452" s="39"/>
      <c r="P452" s="39"/>
      <c r="Q452" s="39"/>
      <c r="R452" s="39"/>
      <c r="S452" s="39"/>
      <c r="T452" s="39"/>
      <c r="U452" s="39"/>
      <c r="V452" s="39"/>
      <c r="W452" s="39"/>
      <c r="Y452" s="39"/>
      <c r="Z452" s="39"/>
      <c r="AA452" s="39"/>
      <c r="AB452" s="39"/>
      <c r="AC452" s="39"/>
      <c r="AD452" s="39"/>
      <c r="AE452" s="39"/>
      <c r="AF452" s="39"/>
      <c r="AG452" s="39"/>
      <c r="AH452" s="39"/>
      <c r="AI452" s="39"/>
      <c r="AJ452" s="423"/>
      <c r="AK452" s="39"/>
      <c r="AL452" s="423"/>
      <c r="AM452" s="39"/>
      <c r="AN452" s="39"/>
      <c r="AO452" s="39"/>
      <c r="AP452" s="39"/>
    </row>
    <row r="453" spans="2:42">
      <c r="B453" s="39"/>
      <c r="C453" s="39"/>
      <c r="D453" s="39"/>
      <c r="E453" s="39"/>
      <c r="F453" s="39"/>
      <c r="G453" s="39"/>
      <c r="H453" s="39"/>
      <c r="I453" s="39"/>
      <c r="J453" s="39"/>
      <c r="K453" s="39"/>
      <c r="L453" s="100"/>
      <c r="N453" s="39"/>
      <c r="O453" s="39"/>
      <c r="P453" s="39"/>
      <c r="Q453" s="39"/>
      <c r="R453" s="39"/>
      <c r="S453" s="39"/>
      <c r="T453" s="39"/>
      <c r="U453" s="39"/>
      <c r="V453" s="39"/>
      <c r="W453" s="39"/>
      <c r="Y453" s="39"/>
      <c r="Z453" s="39"/>
      <c r="AA453" s="39"/>
      <c r="AB453" s="39"/>
      <c r="AC453" s="39"/>
      <c r="AD453" s="39"/>
      <c r="AE453" s="39"/>
      <c r="AF453" s="39"/>
      <c r="AG453" s="39"/>
      <c r="AH453" s="39"/>
      <c r="AI453" s="39"/>
      <c r="AJ453" s="423"/>
      <c r="AK453" s="39"/>
      <c r="AL453" s="423"/>
      <c r="AM453" s="39"/>
      <c r="AN453" s="39"/>
      <c r="AO453" s="39"/>
      <c r="AP453" s="39"/>
    </row>
    <row r="454" spans="2:42">
      <c r="B454" s="39"/>
      <c r="C454" s="39"/>
      <c r="D454" s="39"/>
      <c r="E454" s="39"/>
      <c r="F454" s="39"/>
      <c r="G454" s="39"/>
      <c r="H454" s="39"/>
      <c r="I454" s="39"/>
      <c r="J454" s="39"/>
      <c r="K454" s="39"/>
      <c r="L454" s="100"/>
      <c r="N454" s="39"/>
      <c r="O454" s="39"/>
      <c r="P454" s="39"/>
      <c r="Q454" s="39"/>
      <c r="R454" s="39"/>
      <c r="S454" s="39"/>
      <c r="T454" s="39"/>
      <c r="U454" s="39"/>
      <c r="V454" s="39"/>
      <c r="W454" s="39"/>
      <c r="Y454" s="39"/>
      <c r="Z454" s="39"/>
      <c r="AA454" s="39"/>
      <c r="AB454" s="39"/>
      <c r="AC454" s="39"/>
      <c r="AD454" s="39"/>
      <c r="AE454" s="39"/>
      <c r="AF454" s="39"/>
      <c r="AG454" s="39"/>
      <c r="AH454" s="39"/>
      <c r="AI454" s="39"/>
      <c r="AJ454" s="423"/>
      <c r="AK454" s="39"/>
      <c r="AL454" s="423"/>
      <c r="AM454" s="39"/>
      <c r="AN454" s="39"/>
      <c r="AO454" s="39"/>
      <c r="AP454" s="39"/>
    </row>
    <row r="455" spans="2:42">
      <c r="B455" s="39"/>
      <c r="C455" s="39"/>
      <c r="D455" s="39"/>
      <c r="E455" s="39"/>
      <c r="F455" s="39"/>
      <c r="G455" s="39"/>
      <c r="H455" s="39"/>
      <c r="I455" s="39"/>
      <c r="J455" s="39"/>
      <c r="K455" s="39"/>
      <c r="L455" s="100"/>
      <c r="N455" s="39"/>
      <c r="O455" s="39"/>
      <c r="P455" s="39"/>
      <c r="Q455" s="39"/>
      <c r="R455" s="39"/>
      <c r="S455" s="39"/>
      <c r="T455" s="39"/>
      <c r="U455" s="39"/>
      <c r="V455" s="39"/>
      <c r="W455" s="39"/>
      <c r="Y455" s="39"/>
      <c r="Z455" s="39"/>
      <c r="AA455" s="39"/>
      <c r="AB455" s="39"/>
      <c r="AC455" s="39"/>
      <c r="AD455" s="39"/>
      <c r="AE455" s="39"/>
      <c r="AF455" s="39"/>
      <c r="AG455" s="39"/>
      <c r="AH455" s="39"/>
      <c r="AI455" s="39"/>
      <c r="AJ455" s="423"/>
      <c r="AK455" s="39"/>
      <c r="AL455" s="423"/>
      <c r="AM455" s="39"/>
      <c r="AN455" s="39"/>
      <c r="AO455" s="39"/>
      <c r="AP455" s="39"/>
    </row>
    <row r="456" spans="2:42">
      <c r="B456" s="39"/>
      <c r="C456" s="39"/>
      <c r="D456" s="39"/>
      <c r="E456" s="39"/>
      <c r="F456" s="39"/>
      <c r="G456" s="39"/>
      <c r="H456" s="39"/>
      <c r="I456" s="39"/>
      <c r="J456" s="39"/>
      <c r="K456" s="39"/>
      <c r="L456" s="100"/>
      <c r="N456" s="39"/>
      <c r="O456" s="39"/>
      <c r="P456" s="39"/>
      <c r="Q456" s="39"/>
      <c r="R456" s="39"/>
      <c r="S456" s="39"/>
      <c r="T456" s="39"/>
      <c r="U456" s="39"/>
      <c r="V456" s="39"/>
      <c r="W456" s="39"/>
      <c r="Y456" s="39"/>
      <c r="Z456" s="39"/>
      <c r="AA456" s="39"/>
      <c r="AB456" s="39"/>
      <c r="AC456" s="39"/>
      <c r="AD456" s="39"/>
      <c r="AE456" s="39"/>
      <c r="AF456" s="39"/>
      <c r="AG456" s="39"/>
      <c r="AH456" s="39"/>
      <c r="AI456" s="39"/>
      <c r="AJ456" s="423"/>
      <c r="AK456" s="39"/>
      <c r="AL456" s="423"/>
      <c r="AM456" s="39"/>
      <c r="AN456" s="39"/>
      <c r="AO456" s="39"/>
      <c r="AP456" s="39"/>
    </row>
    <row r="457" spans="2:42">
      <c r="B457" s="39"/>
      <c r="C457" s="39"/>
      <c r="D457" s="39"/>
      <c r="E457" s="39"/>
      <c r="F457" s="39"/>
      <c r="G457" s="39"/>
      <c r="H457" s="39"/>
      <c r="I457" s="39"/>
      <c r="J457" s="39"/>
      <c r="K457" s="39"/>
      <c r="L457" s="100"/>
      <c r="N457" s="39"/>
      <c r="O457" s="39"/>
      <c r="P457" s="39"/>
      <c r="Q457" s="39"/>
      <c r="R457" s="39"/>
      <c r="S457" s="39"/>
      <c r="T457" s="39"/>
      <c r="U457" s="39"/>
      <c r="V457" s="39"/>
      <c r="W457" s="39"/>
      <c r="Y457" s="39"/>
      <c r="Z457" s="39"/>
      <c r="AA457" s="39"/>
      <c r="AB457" s="39"/>
      <c r="AC457" s="39"/>
      <c r="AD457" s="39"/>
      <c r="AE457" s="39"/>
      <c r="AF457" s="39"/>
      <c r="AG457" s="39"/>
      <c r="AH457" s="39"/>
      <c r="AI457" s="39"/>
      <c r="AJ457" s="423"/>
      <c r="AK457" s="39"/>
      <c r="AL457" s="423"/>
      <c r="AM457" s="39"/>
      <c r="AN457" s="39"/>
      <c r="AO457" s="39"/>
      <c r="AP457" s="39"/>
    </row>
    <row r="458" spans="2:42">
      <c r="B458" s="39"/>
      <c r="C458" s="39"/>
      <c r="D458" s="39"/>
      <c r="E458" s="39"/>
      <c r="F458" s="39"/>
      <c r="G458" s="39"/>
      <c r="H458" s="39"/>
      <c r="I458" s="39"/>
      <c r="J458" s="39"/>
      <c r="K458" s="39"/>
      <c r="L458" s="100"/>
      <c r="N458" s="39"/>
      <c r="O458" s="39"/>
      <c r="P458" s="39"/>
      <c r="Q458" s="39"/>
      <c r="R458" s="39"/>
      <c r="S458" s="39"/>
      <c r="T458" s="39"/>
      <c r="U458" s="39"/>
      <c r="V458" s="39"/>
      <c r="W458" s="39"/>
      <c r="Y458" s="39"/>
      <c r="Z458" s="39"/>
      <c r="AA458" s="39"/>
      <c r="AB458" s="39"/>
      <c r="AC458" s="39"/>
      <c r="AD458" s="39"/>
      <c r="AE458" s="39"/>
      <c r="AF458" s="39"/>
      <c r="AG458" s="39"/>
      <c r="AH458" s="39"/>
      <c r="AI458" s="39"/>
      <c r="AJ458" s="423"/>
      <c r="AK458" s="39"/>
      <c r="AL458" s="423"/>
      <c r="AM458" s="39"/>
      <c r="AN458" s="39"/>
      <c r="AO458" s="39"/>
      <c r="AP458" s="39"/>
    </row>
    <row r="459" spans="2:42">
      <c r="B459" s="39"/>
      <c r="C459" s="39"/>
      <c r="D459" s="39"/>
      <c r="E459" s="39"/>
      <c r="F459" s="39"/>
      <c r="G459" s="39"/>
      <c r="H459" s="39"/>
      <c r="I459" s="39"/>
      <c r="J459" s="39"/>
      <c r="K459" s="39"/>
      <c r="L459" s="100"/>
      <c r="N459" s="39"/>
      <c r="O459" s="39"/>
      <c r="P459" s="39"/>
      <c r="Q459" s="39"/>
      <c r="R459" s="39"/>
      <c r="S459" s="39"/>
      <c r="T459" s="39"/>
      <c r="U459" s="39"/>
      <c r="V459" s="39"/>
      <c r="W459" s="39"/>
      <c r="Y459" s="39"/>
      <c r="Z459" s="39"/>
      <c r="AA459" s="39"/>
      <c r="AB459" s="39"/>
      <c r="AC459" s="39"/>
      <c r="AD459" s="39"/>
      <c r="AE459" s="39"/>
      <c r="AF459" s="39"/>
      <c r="AG459" s="39"/>
      <c r="AH459" s="39"/>
      <c r="AI459" s="39"/>
      <c r="AJ459" s="423"/>
      <c r="AK459" s="39"/>
      <c r="AL459" s="423"/>
      <c r="AM459" s="39"/>
      <c r="AN459" s="39"/>
      <c r="AO459" s="39"/>
      <c r="AP459" s="39"/>
    </row>
    <row r="460" spans="2:42">
      <c r="B460" s="39"/>
      <c r="C460" s="39"/>
      <c r="D460" s="39"/>
      <c r="E460" s="39"/>
      <c r="F460" s="39"/>
      <c r="G460" s="39"/>
      <c r="H460" s="39"/>
      <c r="I460" s="39"/>
      <c r="J460" s="39"/>
      <c r="K460" s="39"/>
      <c r="L460" s="100"/>
      <c r="N460" s="39"/>
      <c r="O460" s="39"/>
      <c r="P460" s="39"/>
      <c r="Q460" s="39"/>
      <c r="R460" s="39"/>
      <c r="S460" s="39"/>
      <c r="T460" s="39"/>
      <c r="U460" s="39"/>
      <c r="V460" s="39"/>
      <c r="W460" s="39"/>
      <c r="Y460" s="39"/>
      <c r="Z460" s="39"/>
      <c r="AA460" s="39"/>
      <c r="AB460" s="39"/>
      <c r="AC460" s="39"/>
      <c r="AD460" s="39"/>
      <c r="AE460" s="39"/>
      <c r="AF460" s="39"/>
      <c r="AG460" s="39"/>
      <c r="AH460" s="39"/>
      <c r="AI460" s="39"/>
      <c r="AJ460" s="423"/>
      <c r="AK460" s="39"/>
      <c r="AL460" s="423"/>
      <c r="AM460" s="39"/>
      <c r="AN460" s="39"/>
      <c r="AO460" s="39"/>
      <c r="AP460" s="39"/>
    </row>
    <row r="461" spans="2:42">
      <c r="B461" s="39"/>
      <c r="C461" s="39"/>
      <c r="D461" s="39"/>
      <c r="E461" s="39"/>
      <c r="F461" s="39"/>
      <c r="G461" s="39"/>
      <c r="H461" s="39"/>
      <c r="I461" s="39"/>
      <c r="J461" s="39"/>
      <c r="K461" s="39"/>
      <c r="L461" s="100"/>
      <c r="N461" s="39"/>
      <c r="O461" s="39"/>
      <c r="P461" s="39"/>
      <c r="Q461" s="39"/>
      <c r="R461" s="39"/>
      <c r="S461" s="39"/>
      <c r="T461" s="39"/>
      <c r="U461" s="39"/>
      <c r="V461" s="39"/>
      <c r="W461" s="39"/>
      <c r="Y461" s="39"/>
      <c r="Z461" s="39"/>
      <c r="AA461" s="39"/>
      <c r="AB461" s="39"/>
      <c r="AC461" s="39"/>
      <c r="AD461" s="39"/>
      <c r="AE461" s="39"/>
      <c r="AF461" s="39"/>
      <c r="AG461" s="39"/>
      <c r="AH461" s="39"/>
      <c r="AI461" s="39"/>
      <c r="AJ461" s="423"/>
      <c r="AK461" s="39"/>
      <c r="AL461" s="423"/>
      <c r="AM461" s="39"/>
      <c r="AN461" s="39"/>
      <c r="AO461" s="39"/>
      <c r="AP461" s="39"/>
    </row>
    <row r="462" spans="2:42">
      <c r="B462" s="39"/>
      <c r="C462" s="39"/>
      <c r="D462" s="39"/>
      <c r="E462" s="39"/>
      <c r="F462" s="39"/>
      <c r="G462" s="39"/>
      <c r="H462" s="39"/>
      <c r="I462" s="39"/>
      <c r="J462" s="39"/>
      <c r="K462" s="39"/>
      <c r="L462" s="100"/>
      <c r="N462" s="39"/>
      <c r="O462" s="39"/>
      <c r="P462" s="39"/>
      <c r="Q462" s="39"/>
      <c r="R462" s="39"/>
      <c r="S462" s="39"/>
      <c r="T462" s="39"/>
      <c r="U462" s="39"/>
      <c r="V462" s="39"/>
      <c r="W462" s="39"/>
      <c r="Y462" s="39"/>
      <c r="Z462" s="39"/>
      <c r="AA462" s="39"/>
      <c r="AB462" s="39"/>
      <c r="AC462" s="39"/>
      <c r="AD462" s="39"/>
      <c r="AE462" s="39"/>
      <c r="AF462" s="39"/>
      <c r="AG462" s="39"/>
      <c r="AH462" s="39"/>
      <c r="AI462" s="39"/>
      <c r="AJ462" s="423"/>
      <c r="AK462" s="39"/>
      <c r="AL462" s="423"/>
      <c r="AM462" s="39"/>
      <c r="AN462" s="39"/>
      <c r="AO462" s="39"/>
      <c r="AP462" s="39"/>
    </row>
    <row r="463" spans="2:42">
      <c r="B463" s="39"/>
      <c r="C463" s="39"/>
      <c r="D463" s="39"/>
      <c r="E463" s="39"/>
      <c r="F463" s="39"/>
      <c r="G463" s="39"/>
      <c r="H463" s="39"/>
      <c r="I463" s="39"/>
      <c r="J463" s="39"/>
      <c r="K463" s="39"/>
      <c r="L463" s="100"/>
      <c r="N463" s="39"/>
      <c r="O463" s="39"/>
      <c r="P463" s="39"/>
      <c r="Q463" s="39"/>
      <c r="R463" s="39"/>
      <c r="S463" s="39"/>
      <c r="T463" s="39"/>
      <c r="U463" s="39"/>
      <c r="V463" s="39"/>
      <c r="W463" s="39"/>
      <c r="Y463" s="39"/>
      <c r="Z463" s="39"/>
      <c r="AA463" s="39"/>
      <c r="AB463" s="39"/>
      <c r="AC463" s="39"/>
      <c r="AD463" s="39"/>
      <c r="AE463" s="39"/>
      <c r="AF463" s="39"/>
      <c r="AG463" s="39"/>
      <c r="AH463" s="39"/>
      <c r="AI463" s="39"/>
      <c r="AJ463" s="423"/>
      <c r="AK463" s="39"/>
      <c r="AL463" s="423"/>
      <c r="AM463" s="39"/>
      <c r="AN463" s="39"/>
      <c r="AO463" s="39"/>
      <c r="AP463" s="39"/>
    </row>
    <row r="464" spans="2:42">
      <c r="B464" s="39"/>
      <c r="C464" s="39"/>
      <c r="D464" s="39"/>
      <c r="E464" s="39"/>
      <c r="F464" s="39"/>
      <c r="G464" s="39"/>
      <c r="H464" s="39"/>
      <c r="I464" s="39"/>
      <c r="J464" s="39"/>
      <c r="K464" s="39"/>
      <c r="L464" s="100"/>
      <c r="N464" s="39"/>
      <c r="O464" s="39"/>
      <c r="P464" s="39"/>
      <c r="Q464" s="39"/>
      <c r="R464" s="39"/>
      <c r="S464" s="39"/>
      <c r="T464" s="39"/>
      <c r="U464" s="39"/>
      <c r="V464" s="39"/>
      <c r="W464" s="39"/>
      <c r="Y464" s="39"/>
      <c r="Z464" s="39"/>
      <c r="AA464" s="39"/>
      <c r="AB464" s="39"/>
      <c r="AC464" s="39"/>
      <c r="AD464" s="39"/>
      <c r="AE464" s="39"/>
      <c r="AF464" s="39"/>
      <c r="AG464" s="39"/>
      <c r="AH464" s="39"/>
      <c r="AI464" s="39"/>
      <c r="AJ464" s="423"/>
      <c r="AK464" s="39"/>
      <c r="AL464" s="423"/>
      <c r="AM464" s="39"/>
      <c r="AN464" s="39"/>
      <c r="AO464" s="39"/>
      <c r="AP464" s="39"/>
    </row>
    <row r="465" spans="2:42">
      <c r="B465" s="39"/>
      <c r="C465" s="39"/>
      <c r="D465" s="39"/>
      <c r="E465" s="39"/>
      <c r="F465" s="39"/>
      <c r="G465" s="39"/>
      <c r="H465" s="39"/>
      <c r="I465" s="39"/>
      <c r="J465" s="39"/>
      <c r="K465" s="39"/>
      <c r="L465" s="100"/>
      <c r="N465" s="39"/>
      <c r="O465" s="39"/>
      <c r="P465" s="39"/>
      <c r="Q465" s="39"/>
      <c r="R465" s="39"/>
      <c r="S465" s="39"/>
      <c r="T465" s="39"/>
      <c r="U465" s="39"/>
      <c r="V465" s="39"/>
      <c r="W465" s="39"/>
      <c r="Y465" s="39"/>
      <c r="Z465" s="39"/>
      <c r="AA465" s="39"/>
      <c r="AB465" s="39"/>
      <c r="AC465" s="39"/>
      <c r="AD465" s="39"/>
      <c r="AE465" s="39"/>
      <c r="AF465" s="39"/>
      <c r="AG465" s="39"/>
      <c r="AH465" s="39"/>
      <c r="AI465" s="39"/>
      <c r="AJ465" s="423"/>
      <c r="AK465" s="39"/>
      <c r="AL465" s="423"/>
      <c r="AM465" s="39"/>
      <c r="AN465" s="39"/>
      <c r="AO465" s="39"/>
      <c r="AP465" s="39"/>
    </row>
    <row r="466" spans="2:42">
      <c r="B466" s="39"/>
      <c r="C466" s="39"/>
      <c r="D466" s="39"/>
      <c r="E466" s="39"/>
      <c r="F466" s="39"/>
      <c r="G466" s="39"/>
      <c r="H466" s="39"/>
      <c r="I466" s="39"/>
      <c r="J466" s="39"/>
      <c r="K466" s="39"/>
      <c r="L466" s="100"/>
      <c r="N466" s="39"/>
      <c r="O466" s="39"/>
      <c r="P466" s="39"/>
      <c r="Q466" s="39"/>
      <c r="R466" s="39"/>
      <c r="S466" s="39"/>
      <c r="T466" s="39"/>
      <c r="U466" s="39"/>
      <c r="V466" s="39"/>
      <c r="W466" s="39"/>
      <c r="Y466" s="39"/>
      <c r="Z466" s="39"/>
      <c r="AA466" s="39"/>
      <c r="AB466" s="39"/>
      <c r="AC466" s="39"/>
      <c r="AD466" s="39"/>
      <c r="AE466" s="39"/>
      <c r="AF466" s="39"/>
      <c r="AG466" s="39"/>
      <c r="AH466" s="39"/>
      <c r="AI466" s="39"/>
      <c r="AJ466" s="423"/>
      <c r="AK466" s="39"/>
      <c r="AL466" s="423"/>
      <c r="AM466" s="39"/>
      <c r="AN466" s="39"/>
      <c r="AO466" s="39"/>
      <c r="AP466" s="39"/>
    </row>
    <row r="467" spans="2:42">
      <c r="B467" s="39"/>
      <c r="C467" s="39"/>
      <c r="D467" s="39"/>
      <c r="E467" s="39"/>
      <c r="F467" s="39"/>
      <c r="G467" s="39"/>
      <c r="H467" s="39"/>
      <c r="I467" s="39"/>
      <c r="J467" s="39"/>
      <c r="K467" s="39"/>
      <c r="L467" s="100"/>
      <c r="N467" s="39"/>
      <c r="O467" s="39"/>
      <c r="P467" s="39"/>
      <c r="Q467" s="39"/>
      <c r="R467" s="39"/>
      <c r="S467" s="39"/>
      <c r="T467" s="39"/>
      <c r="U467" s="39"/>
      <c r="V467" s="39"/>
      <c r="W467" s="39"/>
      <c r="Y467" s="39"/>
      <c r="Z467" s="39"/>
      <c r="AA467" s="39"/>
      <c r="AB467" s="39"/>
      <c r="AC467" s="39"/>
      <c r="AD467" s="39"/>
      <c r="AE467" s="39"/>
      <c r="AF467" s="39"/>
      <c r="AG467" s="39"/>
      <c r="AH467" s="39"/>
      <c r="AI467" s="39"/>
      <c r="AJ467" s="423"/>
      <c r="AK467" s="39"/>
      <c r="AL467" s="423"/>
      <c r="AM467" s="39"/>
      <c r="AN467" s="39"/>
      <c r="AO467" s="39"/>
      <c r="AP467" s="39"/>
    </row>
    <row r="468" spans="2:42">
      <c r="B468" s="39"/>
      <c r="C468" s="39"/>
      <c r="D468" s="39"/>
      <c r="E468" s="39"/>
      <c r="F468" s="39"/>
      <c r="G468" s="39"/>
      <c r="H468" s="39"/>
      <c r="I468" s="39"/>
      <c r="J468" s="39"/>
      <c r="K468" s="39"/>
      <c r="L468" s="100"/>
      <c r="N468" s="39"/>
      <c r="O468" s="39"/>
      <c r="P468" s="39"/>
      <c r="Q468" s="39"/>
      <c r="R468" s="39"/>
      <c r="S468" s="39"/>
      <c r="T468" s="39"/>
      <c r="U468" s="39"/>
      <c r="V468" s="39"/>
      <c r="W468" s="39"/>
      <c r="Y468" s="39"/>
      <c r="Z468" s="39"/>
      <c r="AA468" s="39"/>
      <c r="AB468" s="39"/>
      <c r="AC468" s="39"/>
      <c r="AD468" s="39"/>
      <c r="AE468" s="39"/>
      <c r="AF468" s="39"/>
      <c r="AG468" s="39"/>
      <c r="AH468" s="39"/>
      <c r="AI468" s="39"/>
      <c r="AJ468" s="423"/>
      <c r="AK468" s="39"/>
      <c r="AL468" s="423"/>
      <c r="AM468" s="39"/>
      <c r="AN468" s="39"/>
      <c r="AO468" s="39"/>
      <c r="AP468" s="39"/>
    </row>
    <row r="469" spans="2:42">
      <c r="B469" s="39"/>
      <c r="C469" s="39"/>
      <c r="D469" s="39"/>
      <c r="E469" s="39"/>
      <c r="F469" s="39"/>
      <c r="G469" s="39"/>
      <c r="H469" s="39"/>
      <c r="I469" s="39"/>
      <c r="J469" s="39"/>
      <c r="K469" s="39"/>
      <c r="L469" s="100"/>
      <c r="N469" s="39"/>
      <c r="O469" s="39"/>
      <c r="P469" s="39"/>
      <c r="Q469" s="39"/>
      <c r="R469" s="39"/>
      <c r="S469" s="39"/>
      <c r="T469" s="39"/>
      <c r="U469" s="39"/>
      <c r="V469" s="39"/>
      <c r="W469" s="39"/>
      <c r="Y469" s="39"/>
      <c r="Z469" s="39"/>
      <c r="AA469" s="39"/>
      <c r="AB469" s="39"/>
      <c r="AC469" s="39"/>
      <c r="AD469" s="39"/>
      <c r="AE469" s="39"/>
      <c r="AF469" s="39"/>
      <c r="AG469" s="39"/>
      <c r="AH469" s="39"/>
      <c r="AI469" s="39"/>
      <c r="AJ469" s="423"/>
      <c r="AK469" s="39"/>
      <c r="AL469" s="423"/>
      <c r="AM469" s="39"/>
      <c r="AN469" s="39"/>
      <c r="AO469" s="39"/>
      <c r="AP469" s="39"/>
    </row>
    <row r="470" spans="2:42">
      <c r="B470" s="39"/>
      <c r="C470" s="39"/>
      <c r="D470" s="39"/>
      <c r="E470" s="39"/>
      <c r="F470" s="39"/>
      <c r="G470" s="39"/>
      <c r="H470" s="39"/>
      <c r="I470" s="39"/>
      <c r="J470" s="39"/>
      <c r="K470" s="39"/>
      <c r="L470" s="100"/>
      <c r="N470" s="39"/>
      <c r="O470" s="39"/>
      <c r="P470" s="39"/>
      <c r="Q470" s="39"/>
      <c r="R470" s="39"/>
      <c r="S470" s="39"/>
      <c r="T470" s="39"/>
      <c r="U470" s="39"/>
      <c r="V470" s="39"/>
      <c r="W470" s="39"/>
      <c r="Y470" s="39"/>
      <c r="Z470" s="39"/>
      <c r="AA470" s="39"/>
      <c r="AB470" s="39"/>
      <c r="AC470" s="39"/>
      <c r="AD470" s="39"/>
      <c r="AE470" s="39"/>
      <c r="AF470" s="39"/>
      <c r="AG470" s="39"/>
      <c r="AH470" s="39"/>
      <c r="AI470" s="39"/>
      <c r="AJ470" s="423"/>
      <c r="AK470" s="39"/>
      <c r="AL470" s="423"/>
      <c r="AM470" s="39"/>
      <c r="AN470" s="39"/>
      <c r="AO470" s="39"/>
      <c r="AP470" s="39"/>
    </row>
    <row r="471" spans="2:42">
      <c r="B471" s="39"/>
      <c r="C471" s="39"/>
      <c r="D471" s="39"/>
      <c r="E471" s="39"/>
      <c r="F471" s="39"/>
      <c r="G471" s="39"/>
      <c r="H471" s="39"/>
      <c r="I471" s="39"/>
      <c r="J471" s="39"/>
      <c r="K471" s="39"/>
      <c r="L471" s="100"/>
      <c r="N471" s="39"/>
      <c r="O471" s="39"/>
      <c r="P471" s="39"/>
      <c r="Q471" s="39"/>
      <c r="R471" s="39"/>
      <c r="S471" s="39"/>
      <c r="T471" s="39"/>
      <c r="U471" s="39"/>
      <c r="V471" s="39"/>
      <c r="W471" s="39"/>
      <c r="Y471" s="39"/>
      <c r="Z471" s="39"/>
      <c r="AA471" s="39"/>
      <c r="AB471" s="39"/>
      <c r="AC471" s="39"/>
      <c r="AD471" s="39"/>
      <c r="AE471" s="39"/>
      <c r="AF471" s="39"/>
      <c r="AG471" s="39"/>
      <c r="AH471" s="39"/>
      <c r="AI471" s="39"/>
      <c r="AJ471" s="423"/>
      <c r="AK471" s="39"/>
      <c r="AL471" s="423"/>
      <c r="AM471" s="39"/>
      <c r="AN471" s="39"/>
      <c r="AO471" s="39"/>
      <c r="AP471" s="39"/>
    </row>
    <row r="472" spans="2:42">
      <c r="B472" s="39"/>
      <c r="C472" s="39"/>
      <c r="D472" s="39"/>
      <c r="E472" s="39"/>
      <c r="F472" s="39"/>
      <c r="G472" s="39"/>
      <c r="H472" s="39"/>
      <c r="I472" s="39"/>
      <c r="J472" s="39"/>
      <c r="K472" s="39"/>
      <c r="L472" s="100"/>
      <c r="N472" s="39"/>
      <c r="O472" s="39"/>
      <c r="P472" s="39"/>
      <c r="Q472" s="39"/>
      <c r="R472" s="39"/>
      <c r="S472" s="39"/>
      <c r="T472" s="39"/>
      <c r="U472" s="39"/>
      <c r="V472" s="39"/>
      <c r="W472" s="39"/>
      <c r="Y472" s="39"/>
      <c r="Z472" s="39"/>
      <c r="AA472" s="39"/>
      <c r="AB472" s="39"/>
      <c r="AC472" s="39"/>
      <c r="AD472" s="39"/>
      <c r="AE472" s="39"/>
      <c r="AF472" s="39"/>
      <c r="AG472" s="39"/>
      <c r="AH472" s="39"/>
      <c r="AI472" s="39"/>
      <c r="AJ472" s="423"/>
      <c r="AK472" s="39"/>
      <c r="AL472" s="423"/>
      <c r="AM472" s="39"/>
      <c r="AN472" s="39"/>
      <c r="AO472" s="39"/>
      <c r="AP472" s="39"/>
    </row>
    <row r="473" spans="2:42">
      <c r="B473" s="39"/>
      <c r="C473" s="39"/>
      <c r="D473" s="39"/>
      <c r="E473" s="39"/>
      <c r="F473" s="39"/>
      <c r="G473" s="39"/>
      <c r="H473" s="39"/>
      <c r="I473" s="39"/>
      <c r="J473" s="39"/>
      <c r="K473" s="39"/>
      <c r="L473" s="100"/>
      <c r="N473" s="39"/>
      <c r="O473" s="39"/>
      <c r="P473" s="39"/>
      <c r="Q473" s="39"/>
      <c r="R473" s="39"/>
      <c r="S473" s="39"/>
      <c r="T473" s="39"/>
      <c r="U473" s="39"/>
      <c r="V473" s="39"/>
      <c r="W473" s="39"/>
      <c r="Y473" s="39"/>
      <c r="Z473" s="39"/>
      <c r="AA473" s="39"/>
      <c r="AB473" s="39"/>
      <c r="AC473" s="39"/>
      <c r="AD473" s="39"/>
      <c r="AE473" s="39"/>
      <c r="AF473" s="39"/>
      <c r="AG473" s="39"/>
      <c r="AH473" s="39"/>
      <c r="AI473" s="39"/>
      <c r="AJ473" s="423"/>
      <c r="AK473" s="39"/>
      <c r="AL473" s="423"/>
      <c r="AM473" s="39"/>
      <c r="AN473" s="39"/>
      <c r="AO473" s="39"/>
      <c r="AP473" s="39"/>
    </row>
    <row r="474" spans="2:42">
      <c r="B474" s="39"/>
      <c r="C474" s="39"/>
      <c r="D474" s="39"/>
      <c r="E474" s="39"/>
      <c r="F474" s="39"/>
      <c r="G474" s="39"/>
      <c r="H474" s="39"/>
      <c r="I474" s="39"/>
      <c r="J474" s="39"/>
      <c r="K474" s="39"/>
      <c r="L474" s="100"/>
      <c r="N474" s="39"/>
      <c r="O474" s="39"/>
      <c r="P474" s="39"/>
      <c r="Q474" s="39"/>
      <c r="R474" s="39"/>
      <c r="S474" s="39"/>
      <c r="T474" s="39"/>
      <c r="U474" s="39"/>
      <c r="V474" s="39"/>
      <c r="W474" s="39"/>
      <c r="Y474" s="39"/>
      <c r="Z474" s="39"/>
      <c r="AA474" s="39"/>
      <c r="AB474" s="39"/>
      <c r="AC474" s="39"/>
      <c r="AD474" s="39"/>
      <c r="AE474" s="39"/>
      <c r="AF474" s="39"/>
      <c r="AG474" s="39"/>
      <c r="AH474" s="39"/>
      <c r="AI474" s="39"/>
      <c r="AJ474" s="423"/>
      <c r="AK474" s="39"/>
      <c r="AL474" s="423"/>
      <c r="AM474" s="39"/>
      <c r="AN474" s="39"/>
      <c r="AO474" s="39"/>
      <c r="AP474" s="39"/>
    </row>
    <row r="475" spans="2:42">
      <c r="B475" s="39"/>
      <c r="C475" s="39"/>
      <c r="D475" s="39"/>
      <c r="E475" s="39"/>
      <c r="F475" s="39"/>
      <c r="G475" s="39"/>
      <c r="H475" s="39"/>
      <c r="I475" s="39"/>
      <c r="J475" s="39"/>
      <c r="K475" s="39"/>
      <c r="L475" s="100"/>
      <c r="N475" s="39"/>
      <c r="O475" s="39"/>
      <c r="P475" s="39"/>
      <c r="Q475" s="39"/>
      <c r="R475" s="39"/>
      <c r="S475" s="39"/>
      <c r="T475" s="39"/>
      <c r="U475" s="39"/>
      <c r="V475" s="39"/>
      <c r="W475" s="39"/>
      <c r="Y475" s="39"/>
      <c r="Z475" s="39"/>
      <c r="AA475" s="39"/>
      <c r="AB475" s="39"/>
      <c r="AC475" s="39"/>
      <c r="AD475" s="39"/>
      <c r="AE475" s="39"/>
      <c r="AF475" s="39"/>
      <c r="AG475" s="39"/>
      <c r="AH475" s="39"/>
      <c r="AI475" s="39"/>
      <c r="AJ475" s="423"/>
      <c r="AK475" s="39"/>
      <c r="AL475" s="423"/>
      <c r="AM475" s="39"/>
      <c r="AN475" s="39"/>
      <c r="AO475" s="39"/>
      <c r="AP475" s="39"/>
    </row>
    <row r="476" spans="2:42">
      <c r="B476" s="39"/>
      <c r="C476" s="39"/>
      <c r="D476" s="39"/>
      <c r="E476" s="39"/>
      <c r="F476" s="39"/>
      <c r="G476" s="39"/>
      <c r="H476" s="39"/>
      <c r="I476" s="39"/>
      <c r="J476" s="39"/>
      <c r="K476" s="39"/>
      <c r="L476" s="100"/>
      <c r="N476" s="39"/>
      <c r="O476" s="39"/>
      <c r="P476" s="39"/>
      <c r="Q476" s="39"/>
      <c r="R476" s="39"/>
      <c r="S476" s="39"/>
      <c r="T476" s="39"/>
      <c r="U476" s="39"/>
      <c r="V476" s="39"/>
      <c r="W476" s="39"/>
      <c r="Y476" s="39"/>
      <c r="Z476" s="39"/>
      <c r="AA476" s="39"/>
      <c r="AB476" s="39"/>
      <c r="AC476" s="39"/>
      <c r="AD476" s="39"/>
      <c r="AE476" s="39"/>
      <c r="AF476" s="39"/>
      <c r="AG476" s="39"/>
      <c r="AH476" s="39"/>
      <c r="AI476" s="39"/>
      <c r="AJ476" s="423"/>
      <c r="AK476" s="39"/>
      <c r="AL476" s="423"/>
      <c r="AM476" s="39"/>
      <c r="AN476" s="39"/>
      <c r="AO476" s="39"/>
      <c r="AP476" s="39"/>
    </row>
    <row r="477" spans="2:42">
      <c r="B477" s="39"/>
      <c r="C477" s="39"/>
      <c r="D477" s="39"/>
      <c r="E477" s="39"/>
      <c r="F477" s="39"/>
      <c r="G477" s="39"/>
      <c r="H477" s="39"/>
      <c r="I477" s="39"/>
      <c r="J477" s="39"/>
      <c r="K477" s="39"/>
      <c r="L477" s="100"/>
      <c r="N477" s="39"/>
      <c r="O477" s="39"/>
      <c r="P477" s="39"/>
      <c r="Q477" s="39"/>
      <c r="R477" s="39"/>
      <c r="S477" s="39"/>
      <c r="T477" s="39"/>
      <c r="U477" s="39"/>
      <c r="V477" s="39"/>
      <c r="W477" s="39"/>
      <c r="Y477" s="39"/>
      <c r="Z477" s="39"/>
      <c r="AA477" s="39"/>
      <c r="AB477" s="39"/>
      <c r="AC477" s="39"/>
      <c r="AD477" s="39"/>
      <c r="AE477" s="39"/>
      <c r="AF477" s="39"/>
      <c r="AG477" s="39"/>
      <c r="AH477" s="39"/>
      <c r="AI477" s="39"/>
      <c r="AJ477" s="423"/>
      <c r="AK477" s="39"/>
      <c r="AL477" s="423"/>
      <c r="AM477" s="39"/>
      <c r="AN477" s="39"/>
      <c r="AO477" s="39"/>
      <c r="AP477" s="39"/>
    </row>
    <row r="478" spans="2:42">
      <c r="B478" s="39"/>
      <c r="C478" s="39"/>
      <c r="D478" s="39"/>
      <c r="E478" s="39"/>
      <c r="F478" s="39"/>
      <c r="G478" s="39"/>
      <c r="H478" s="39"/>
      <c r="I478" s="39"/>
      <c r="J478" s="39"/>
      <c r="K478" s="39"/>
      <c r="L478" s="100"/>
      <c r="N478" s="39"/>
      <c r="O478" s="39"/>
      <c r="P478" s="39"/>
      <c r="Q478" s="39"/>
      <c r="R478" s="39"/>
      <c r="S478" s="39"/>
      <c r="T478" s="39"/>
      <c r="U478" s="39"/>
      <c r="V478" s="39"/>
      <c r="W478" s="39"/>
      <c r="Y478" s="39"/>
      <c r="Z478" s="39"/>
      <c r="AA478" s="39"/>
      <c r="AB478" s="39"/>
      <c r="AC478" s="39"/>
      <c r="AD478" s="39"/>
      <c r="AE478" s="39"/>
      <c r="AF478" s="39"/>
      <c r="AG478" s="39"/>
      <c r="AH478" s="39"/>
      <c r="AI478" s="39"/>
      <c r="AJ478" s="423"/>
      <c r="AK478" s="39"/>
      <c r="AL478" s="423"/>
      <c r="AM478" s="39"/>
      <c r="AN478" s="39"/>
      <c r="AO478" s="39"/>
      <c r="AP478" s="39"/>
    </row>
    <row r="479" spans="2:42">
      <c r="B479" s="39"/>
      <c r="C479" s="39"/>
      <c r="D479" s="39"/>
      <c r="E479" s="39"/>
      <c r="F479" s="39"/>
      <c r="G479" s="39"/>
      <c r="H479" s="39"/>
      <c r="I479" s="39"/>
      <c r="J479" s="39"/>
      <c r="K479" s="39"/>
      <c r="L479" s="100"/>
      <c r="N479" s="39"/>
      <c r="O479" s="39"/>
      <c r="P479" s="39"/>
      <c r="Q479" s="39"/>
      <c r="R479" s="39"/>
      <c r="S479" s="39"/>
      <c r="T479" s="39"/>
      <c r="U479" s="39"/>
      <c r="V479" s="39"/>
      <c r="W479" s="39"/>
      <c r="Y479" s="39"/>
      <c r="Z479" s="39"/>
      <c r="AA479" s="39"/>
      <c r="AB479" s="39"/>
      <c r="AC479" s="39"/>
      <c r="AD479" s="39"/>
      <c r="AE479" s="39"/>
      <c r="AF479" s="39"/>
      <c r="AG479" s="39"/>
      <c r="AH479" s="39"/>
      <c r="AI479" s="39"/>
      <c r="AJ479" s="423"/>
      <c r="AK479" s="39"/>
      <c r="AL479" s="423"/>
      <c r="AM479" s="39"/>
      <c r="AN479" s="39"/>
      <c r="AO479" s="39"/>
      <c r="AP479" s="39"/>
    </row>
    <row r="480" spans="2:42">
      <c r="B480" s="39"/>
      <c r="C480" s="39"/>
      <c r="D480" s="39"/>
      <c r="E480" s="39"/>
      <c r="F480" s="39"/>
      <c r="G480" s="39"/>
      <c r="H480" s="39"/>
      <c r="I480" s="39"/>
      <c r="J480" s="39"/>
      <c r="K480" s="39"/>
      <c r="L480" s="100"/>
      <c r="N480" s="39"/>
      <c r="O480" s="39"/>
      <c r="P480" s="39"/>
      <c r="Q480" s="39"/>
      <c r="R480" s="39"/>
      <c r="S480" s="39"/>
      <c r="T480" s="39"/>
      <c r="U480" s="39"/>
      <c r="V480" s="39"/>
      <c r="W480" s="39"/>
      <c r="Y480" s="39"/>
      <c r="Z480" s="39"/>
      <c r="AA480" s="39"/>
      <c r="AB480" s="39"/>
      <c r="AC480" s="39"/>
      <c r="AD480" s="39"/>
      <c r="AE480" s="39"/>
      <c r="AF480" s="39"/>
      <c r="AG480" s="39"/>
      <c r="AH480" s="39"/>
      <c r="AI480" s="39"/>
      <c r="AJ480" s="423"/>
      <c r="AK480" s="39"/>
      <c r="AL480" s="423"/>
      <c r="AM480" s="39"/>
      <c r="AN480" s="39"/>
      <c r="AO480" s="39"/>
      <c r="AP480" s="39"/>
    </row>
    <row r="481" spans="2:42">
      <c r="B481" s="39"/>
      <c r="C481" s="39"/>
      <c r="D481" s="39"/>
      <c r="E481" s="39"/>
      <c r="F481" s="39"/>
      <c r="G481" s="39"/>
      <c r="H481" s="39"/>
      <c r="I481" s="39"/>
      <c r="J481" s="39"/>
      <c r="K481" s="39"/>
      <c r="L481" s="100"/>
      <c r="N481" s="39"/>
      <c r="O481" s="39"/>
      <c r="P481" s="39"/>
      <c r="Q481" s="39"/>
      <c r="R481" s="39"/>
      <c r="S481" s="39"/>
      <c r="T481" s="39"/>
      <c r="U481" s="39"/>
      <c r="V481" s="39"/>
      <c r="W481" s="39"/>
      <c r="Y481" s="39"/>
      <c r="Z481" s="39"/>
      <c r="AA481" s="39"/>
      <c r="AB481" s="39"/>
      <c r="AC481" s="39"/>
      <c r="AD481" s="39"/>
      <c r="AE481" s="39"/>
      <c r="AF481" s="39"/>
      <c r="AG481" s="39"/>
      <c r="AH481" s="39"/>
      <c r="AI481" s="39"/>
      <c r="AJ481" s="423"/>
      <c r="AK481" s="39"/>
      <c r="AL481" s="423"/>
      <c r="AM481" s="39"/>
      <c r="AN481" s="39"/>
      <c r="AO481" s="39"/>
      <c r="AP481" s="39"/>
    </row>
    <row r="482" spans="2:42">
      <c r="B482" s="39"/>
      <c r="C482" s="39"/>
      <c r="D482" s="39"/>
      <c r="E482" s="39"/>
      <c r="F482" s="39"/>
      <c r="G482" s="39"/>
      <c r="H482" s="39"/>
      <c r="I482" s="39"/>
      <c r="J482" s="39"/>
      <c r="K482" s="39"/>
      <c r="L482" s="100"/>
      <c r="N482" s="39"/>
      <c r="O482" s="39"/>
      <c r="P482" s="39"/>
      <c r="Q482" s="39"/>
      <c r="R482" s="39"/>
      <c r="S482" s="39"/>
      <c r="T482" s="39"/>
      <c r="U482" s="39"/>
      <c r="V482" s="39"/>
      <c r="W482" s="39"/>
      <c r="Y482" s="39"/>
      <c r="Z482" s="39"/>
      <c r="AA482" s="39"/>
      <c r="AB482" s="39"/>
      <c r="AC482" s="39"/>
      <c r="AD482" s="39"/>
      <c r="AE482" s="39"/>
      <c r="AF482" s="39"/>
      <c r="AG482" s="39"/>
      <c r="AH482" s="39"/>
      <c r="AI482" s="39"/>
      <c r="AJ482" s="423"/>
      <c r="AK482" s="39"/>
      <c r="AL482" s="423"/>
      <c r="AM482" s="39"/>
      <c r="AN482" s="39"/>
      <c r="AO482" s="39"/>
      <c r="AP482" s="39"/>
    </row>
    <row r="483" spans="2:42">
      <c r="B483" s="39"/>
      <c r="C483" s="39"/>
      <c r="D483" s="39"/>
      <c r="E483" s="39"/>
      <c r="F483" s="39"/>
      <c r="G483" s="39"/>
      <c r="H483" s="39"/>
      <c r="I483" s="39"/>
      <c r="J483" s="39"/>
      <c r="K483" s="39"/>
      <c r="L483" s="100"/>
      <c r="N483" s="39"/>
      <c r="O483" s="39"/>
      <c r="P483" s="39"/>
      <c r="Q483" s="39"/>
      <c r="R483" s="39"/>
      <c r="S483" s="39"/>
      <c r="T483" s="39"/>
      <c r="U483" s="39"/>
      <c r="V483" s="39"/>
      <c r="W483" s="39"/>
      <c r="Y483" s="39"/>
      <c r="Z483" s="39"/>
      <c r="AA483" s="39"/>
      <c r="AB483" s="39"/>
      <c r="AC483" s="39"/>
      <c r="AD483" s="39"/>
      <c r="AE483" s="39"/>
      <c r="AF483" s="39"/>
      <c r="AG483" s="39"/>
      <c r="AH483" s="39"/>
      <c r="AI483" s="39"/>
      <c r="AJ483" s="423"/>
      <c r="AK483" s="39"/>
      <c r="AL483" s="423"/>
      <c r="AM483" s="39"/>
      <c r="AN483" s="39"/>
      <c r="AO483" s="39"/>
      <c r="AP483" s="39"/>
    </row>
    <row r="484" spans="2:42">
      <c r="B484" s="39"/>
      <c r="C484" s="39"/>
      <c r="D484" s="39"/>
      <c r="E484" s="39"/>
      <c r="F484" s="39"/>
      <c r="G484" s="39"/>
      <c r="H484" s="39"/>
      <c r="I484" s="39"/>
      <c r="J484" s="39"/>
      <c r="K484" s="39"/>
      <c r="L484" s="100"/>
      <c r="N484" s="39"/>
      <c r="O484" s="39"/>
      <c r="P484" s="39"/>
      <c r="Q484" s="39"/>
      <c r="R484" s="39"/>
      <c r="S484" s="39"/>
      <c r="T484" s="39"/>
      <c r="U484" s="39"/>
      <c r="V484" s="39"/>
      <c r="W484" s="39"/>
      <c r="Y484" s="39"/>
      <c r="Z484" s="39"/>
      <c r="AA484" s="39"/>
      <c r="AB484" s="39"/>
      <c r="AC484" s="39"/>
      <c r="AD484" s="39"/>
      <c r="AE484" s="39"/>
      <c r="AF484" s="39"/>
      <c r="AG484" s="39"/>
      <c r="AH484" s="39"/>
      <c r="AI484" s="39"/>
      <c r="AJ484" s="423"/>
      <c r="AK484" s="39"/>
      <c r="AL484" s="423"/>
      <c r="AM484" s="39"/>
      <c r="AN484" s="39"/>
      <c r="AO484" s="39"/>
      <c r="AP484" s="39"/>
    </row>
    <row r="485" spans="2:42">
      <c r="B485" s="39"/>
      <c r="C485" s="39"/>
      <c r="D485" s="39"/>
      <c r="E485" s="39"/>
      <c r="F485" s="39"/>
      <c r="G485" s="39"/>
      <c r="H485" s="39"/>
      <c r="I485" s="39"/>
      <c r="J485" s="39"/>
      <c r="K485" s="39"/>
      <c r="L485" s="100"/>
      <c r="N485" s="39"/>
      <c r="O485" s="39"/>
      <c r="P485" s="39"/>
      <c r="Q485" s="39"/>
      <c r="R485" s="39"/>
      <c r="S485" s="39"/>
      <c r="T485" s="39"/>
      <c r="U485" s="39"/>
      <c r="V485" s="39"/>
      <c r="W485" s="39"/>
      <c r="Y485" s="39"/>
      <c r="Z485" s="39"/>
      <c r="AA485" s="39"/>
      <c r="AB485" s="39"/>
      <c r="AC485" s="39"/>
      <c r="AD485" s="39"/>
      <c r="AE485" s="39"/>
      <c r="AF485" s="39"/>
      <c r="AG485" s="39"/>
      <c r="AH485" s="39"/>
      <c r="AI485" s="39"/>
      <c r="AJ485" s="423"/>
      <c r="AK485" s="39"/>
      <c r="AL485" s="423"/>
      <c r="AM485" s="39"/>
      <c r="AN485" s="39"/>
      <c r="AO485" s="39"/>
      <c r="AP485" s="39"/>
    </row>
    <row r="486" spans="2:42">
      <c r="B486" s="39"/>
      <c r="C486" s="39"/>
      <c r="D486" s="39"/>
      <c r="E486" s="39"/>
      <c r="F486" s="39"/>
      <c r="G486" s="39"/>
      <c r="H486" s="39"/>
      <c r="I486" s="39"/>
      <c r="J486" s="39"/>
      <c r="K486" s="39"/>
      <c r="L486" s="100"/>
      <c r="N486" s="39"/>
      <c r="O486" s="39"/>
      <c r="P486" s="39"/>
      <c r="Q486" s="39"/>
      <c r="R486" s="39"/>
      <c r="S486" s="39"/>
      <c r="T486" s="39"/>
      <c r="U486" s="39"/>
      <c r="V486" s="39"/>
      <c r="W486" s="39"/>
      <c r="Y486" s="39"/>
      <c r="Z486" s="39"/>
      <c r="AA486" s="39"/>
      <c r="AB486" s="39"/>
      <c r="AC486" s="39"/>
      <c r="AD486" s="39"/>
      <c r="AE486" s="39"/>
      <c r="AF486" s="39"/>
      <c r="AG486" s="39"/>
      <c r="AH486" s="39"/>
      <c r="AI486" s="39"/>
      <c r="AJ486" s="423"/>
      <c r="AK486" s="39"/>
      <c r="AL486" s="423"/>
      <c r="AM486" s="39"/>
      <c r="AN486" s="39"/>
      <c r="AO486" s="39"/>
      <c r="AP486" s="39"/>
    </row>
    <row r="487" spans="2:42">
      <c r="B487" s="39"/>
      <c r="C487" s="39"/>
      <c r="D487" s="39"/>
      <c r="E487" s="39"/>
      <c r="F487" s="39"/>
      <c r="G487" s="39"/>
      <c r="H487" s="39"/>
      <c r="I487" s="39"/>
      <c r="J487" s="39"/>
      <c r="K487" s="39"/>
      <c r="L487" s="100"/>
      <c r="N487" s="39"/>
      <c r="O487" s="39"/>
      <c r="P487" s="39"/>
      <c r="Q487" s="39"/>
      <c r="R487" s="39"/>
      <c r="S487" s="39"/>
      <c r="T487" s="39"/>
      <c r="U487" s="39"/>
      <c r="V487" s="39"/>
      <c r="W487" s="39"/>
      <c r="Y487" s="39"/>
      <c r="Z487" s="39"/>
      <c r="AA487" s="39"/>
      <c r="AB487" s="39"/>
      <c r="AC487" s="39"/>
      <c r="AD487" s="39"/>
      <c r="AE487" s="39"/>
      <c r="AF487" s="39"/>
      <c r="AG487" s="39"/>
      <c r="AH487" s="39"/>
      <c r="AI487" s="39"/>
      <c r="AJ487" s="423"/>
      <c r="AK487" s="39"/>
      <c r="AL487" s="423"/>
      <c r="AM487" s="39"/>
      <c r="AN487" s="39"/>
      <c r="AO487" s="39"/>
      <c r="AP487" s="39"/>
    </row>
    <row r="488" spans="2:42">
      <c r="B488" s="39"/>
      <c r="C488" s="39"/>
      <c r="D488" s="39"/>
      <c r="E488" s="39"/>
      <c r="F488" s="39"/>
      <c r="G488" s="39"/>
      <c r="H488" s="39"/>
      <c r="I488" s="39"/>
      <c r="J488" s="39"/>
      <c r="K488" s="39"/>
      <c r="L488" s="100"/>
      <c r="N488" s="39"/>
      <c r="O488" s="39"/>
      <c r="P488" s="39"/>
      <c r="Q488" s="39"/>
      <c r="R488" s="39"/>
      <c r="S488" s="39"/>
      <c r="T488" s="39"/>
      <c r="U488" s="39"/>
      <c r="V488" s="39"/>
      <c r="W488" s="39"/>
      <c r="Y488" s="39"/>
      <c r="Z488" s="39"/>
      <c r="AA488" s="39"/>
      <c r="AB488" s="39"/>
      <c r="AC488" s="39"/>
      <c r="AD488" s="39"/>
      <c r="AE488" s="39"/>
      <c r="AF488" s="39"/>
      <c r="AG488" s="39"/>
      <c r="AH488" s="39"/>
      <c r="AI488" s="39"/>
      <c r="AJ488" s="423"/>
      <c r="AK488" s="39"/>
      <c r="AL488" s="423"/>
      <c r="AM488" s="39"/>
      <c r="AN488" s="39"/>
      <c r="AO488" s="39"/>
      <c r="AP488" s="39"/>
    </row>
    <row r="489" spans="2:42">
      <c r="B489" s="39"/>
      <c r="C489" s="39"/>
      <c r="D489" s="39"/>
      <c r="E489" s="39"/>
      <c r="F489" s="39"/>
      <c r="G489" s="39"/>
      <c r="H489" s="39"/>
      <c r="I489" s="39"/>
      <c r="J489" s="39"/>
      <c r="K489" s="39"/>
      <c r="L489" s="100"/>
      <c r="N489" s="39"/>
      <c r="O489" s="39"/>
      <c r="P489" s="39"/>
      <c r="Q489" s="39"/>
      <c r="R489" s="39"/>
      <c r="S489" s="39"/>
      <c r="T489" s="39"/>
      <c r="U489" s="39"/>
      <c r="V489" s="39"/>
      <c r="W489" s="39"/>
      <c r="Y489" s="39"/>
      <c r="Z489" s="39"/>
      <c r="AA489" s="39"/>
      <c r="AB489" s="39"/>
      <c r="AC489" s="39"/>
      <c r="AD489" s="39"/>
      <c r="AE489" s="39"/>
      <c r="AF489" s="39"/>
      <c r="AG489" s="39"/>
      <c r="AH489" s="39"/>
      <c r="AI489" s="39"/>
      <c r="AJ489" s="423"/>
      <c r="AK489" s="39"/>
      <c r="AL489" s="423"/>
      <c r="AM489" s="39"/>
      <c r="AN489" s="39"/>
      <c r="AO489" s="39"/>
      <c r="AP489" s="39"/>
    </row>
    <row r="490" spans="2:42">
      <c r="B490" s="39"/>
      <c r="C490" s="39"/>
      <c r="D490" s="39"/>
      <c r="E490" s="39"/>
      <c r="F490" s="39"/>
      <c r="G490" s="39"/>
      <c r="H490" s="39"/>
      <c r="I490" s="39"/>
      <c r="J490" s="39"/>
      <c r="K490" s="39"/>
      <c r="L490" s="100"/>
      <c r="N490" s="39"/>
      <c r="O490" s="39"/>
      <c r="P490" s="39"/>
      <c r="Q490" s="39"/>
      <c r="R490" s="39"/>
      <c r="S490" s="39"/>
      <c r="T490" s="39"/>
      <c r="U490" s="39"/>
      <c r="V490" s="39"/>
      <c r="W490" s="39"/>
      <c r="Y490" s="39"/>
      <c r="Z490" s="39"/>
      <c r="AA490" s="39"/>
      <c r="AB490" s="39"/>
      <c r="AC490" s="39"/>
      <c r="AD490" s="39"/>
      <c r="AE490" s="39"/>
      <c r="AF490" s="39"/>
      <c r="AG490" s="39"/>
      <c r="AH490" s="39"/>
      <c r="AI490" s="39"/>
      <c r="AJ490" s="423"/>
      <c r="AK490" s="39"/>
      <c r="AL490" s="423"/>
      <c r="AM490" s="39"/>
      <c r="AN490" s="39"/>
      <c r="AO490" s="39"/>
      <c r="AP490" s="39"/>
    </row>
    <row r="491" spans="2:42">
      <c r="B491" s="39"/>
      <c r="C491" s="39"/>
      <c r="D491" s="39"/>
      <c r="E491" s="39"/>
      <c r="F491" s="39"/>
      <c r="G491" s="39"/>
      <c r="H491" s="39"/>
      <c r="I491" s="39"/>
      <c r="J491" s="39"/>
      <c r="K491" s="39"/>
      <c r="L491" s="100"/>
      <c r="N491" s="39"/>
      <c r="O491" s="39"/>
      <c r="P491" s="39"/>
      <c r="Q491" s="39"/>
      <c r="R491" s="39"/>
      <c r="S491" s="39"/>
      <c r="T491" s="39"/>
      <c r="U491" s="39"/>
      <c r="V491" s="39"/>
      <c r="W491" s="39"/>
      <c r="Y491" s="39"/>
      <c r="Z491" s="39"/>
      <c r="AA491" s="39"/>
      <c r="AB491" s="39"/>
      <c r="AC491" s="39"/>
      <c r="AD491" s="39"/>
      <c r="AE491" s="39"/>
      <c r="AF491" s="39"/>
      <c r="AG491" s="39"/>
      <c r="AH491" s="39"/>
      <c r="AI491" s="39"/>
      <c r="AJ491" s="423"/>
      <c r="AK491" s="39"/>
      <c r="AL491" s="423"/>
      <c r="AM491" s="39"/>
      <c r="AN491" s="39"/>
      <c r="AO491" s="39"/>
      <c r="AP491" s="39"/>
    </row>
    <row r="492" spans="2:42">
      <c r="B492" s="39"/>
      <c r="C492" s="39"/>
      <c r="D492" s="39"/>
      <c r="E492" s="39"/>
      <c r="F492" s="39"/>
      <c r="G492" s="39"/>
      <c r="H492" s="39"/>
      <c r="I492" s="39"/>
      <c r="J492" s="39"/>
      <c r="K492" s="39"/>
      <c r="L492" s="100"/>
      <c r="N492" s="39"/>
      <c r="O492" s="39"/>
      <c r="P492" s="39"/>
      <c r="Q492" s="39"/>
      <c r="R492" s="39"/>
      <c r="S492" s="39"/>
      <c r="T492" s="39"/>
      <c r="U492" s="39"/>
      <c r="V492" s="39"/>
      <c r="W492" s="39"/>
      <c r="Y492" s="39"/>
      <c r="Z492" s="39"/>
      <c r="AA492" s="39"/>
      <c r="AB492" s="39"/>
      <c r="AC492" s="39"/>
      <c r="AD492" s="39"/>
      <c r="AE492" s="39"/>
      <c r="AF492" s="39"/>
      <c r="AG492" s="39"/>
      <c r="AH492" s="39"/>
      <c r="AI492" s="39"/>
      <c r="AJ492" s="423"/>
      <c r="AK492" s="39"/>
      <c r="AL492" s="423"/>
      <c r="AM492" s="39"/>
      <c r="AN492" s="39"/>
      <c r="AO492" s="39"/>
      <c r="AP492" s="39"/>
    </row>
    <row r="493" spans="2:42">
      <c r="B493" s="39"/>
      <c r="C493" s="39"/>
      <c r="D493" s="39"/>
      <c r="E493" s="39"/>
      <c r="F493" s="39"/>
      <c r="G493" s="39"/>
      <c r="H493" s="39"/>
      <c r="I493" s="39"/>
      <c r="J493" s="39"/>
      <c r="K493" s="39"/>
      <c r="L493" s="100"/>
      <c r="N493" s="39"/>
      <c r="O493" s="39"/>
      <c r="P493" s="39"/>
      <c r="Q493" s="39"/>
      <c r="R493" s="39"/>
      <c r="S493" s="39"/>
      <c r="T493" s="39"/>
      <c r="U493" s="39"/>
      <c r="V493" s="39"/>
      <c r="W493" s="39"/>
      <c r="Y493" s="39"/>
      <c r="Z493" s="39"/>
      <c r="AA493" s="39"/>
      <c r="AB493" s="39"/>
      <c r="AC493" s="39"/>
      <c r="AD493" s="39"/>
      <c r="AE493" s="39"/>
      <c r="AF493" s="39"/>
      <c r="AG493" s="39"/>
      <c r="AH493" s="39"/>
      <c r="AI493" s="39"/>
      <c r="AJ493" s="423"/>
      <c r="AK493" s="39"/>
      <c r="AL493" s="423"/>
      <c r="AM493" s="39"/>
      <c r="AN493" s="39"/>
      <c r="AO493" s="39"/>
      <c r="AP493" s="39"/>
    </row>
    <row r="494" spans="2:42">
      <c r="B494" s="39"/>
      <c r="C494" s="39"/>
      <c r="D494" s="39"/>
      <c r="E494" s="39"/>
      <c r="F494" s="39"/>
      <c r="G494" s="39"/>
      <c r="H494" s="39"/>
      <c r="I494" s="39"/>
      <c r="J494" s="39"/>
      <c r="K494" s="39"/>
      <c r="L494" s="100"/>
      <c r="N494" s="39"/>
      <c r="O494" s="39"/>
      <c r="P494" s="39"/>
      <c r="Q494" s="39"/>
      <c r="R494" s="39"/>
      <c r="S494" s="39"/>
      <c r="T494" s="39"/>
      <c r="U494" s="39"/>
      <c r="V494" s="39"/>
      <c r="W494" s="39"/>
      <c r="Y494" s="39"/>
      <c r="Z494" s="39"/>
      <c r="AA494" s="39"/>
      <c r="AB494" s="39"/>
      <c r="AC494" s="39"/>
      <c r="AD494" s="39"/>
      <c r="AE494" s="39"/>
      <c r="AF494" s="39"/>
      <c r="AG494" s="39"/>
      <c r="AH494" s="39"/>
      <c r="AI494" s="39"/>
      <c r="AJ494" s="423"/>
      <c r="AK494" s="39"/>
      <c r="AL494" s="423"/>
      <c r="AM494" s="39"/>
      <c r="AN494" s="39"/>
      <c r="AO494" s="39"/>
      <c r="AP494" s="39"/>
    </row>
    <row r="495" spans="2:42">
      <c r="B495" s="39"/>
      <c r="C495" s="39"/>
      <c r="D495" s="39"/>
      <c r="E495" s="39"/>
      <c r="F495" s="39"/>
      <c r="G495" s="39"/>
      <c r="H495" s="39"/>
      <c r="I495" s="39"/>
      <c r="J495" s="39"/>
      <c r="K495" s="39"/>
      <c r="L495" s="100"/>
      <c r="N495" s="39"/>
      <c r="O495" s="39"/>
      <c r="P495" s="39"/>
      <c r="Q495" s="39"/>
      <c r="R495" s="39"/>
      <c r="S495" s="39"/>
      <c r="T495" s="39"/>
      <c r="U495" s="39"/>
      <c r="V495" s="39"/>
      <c r="W495" s="39"/>
      <c r="Y495" s="39"/>
      <c r="Z495" s="39"/>
      <c r="AA495" s="39"/>
      <c r="AB495" s="39"/>
      <c r="AC495" s="39"/>
      <c r="AD495" s="39"/>
      <c r="AE495" s="39"/>
      <c r="AF495" s="39"/>
      <c r="AG495" s="39"/>
      <c r="AH495" s="39"/>
      <c r="AI495" s="39"/>
      <c r="AJ495" s="423"/>
      <c r="AK495" s="39"/>
      <c r="AL495" s="423"/>
      <c r="AM495" s="39"/>
      <c r="AN495" s="39"/>
      <c r="AO495" s="39"/>
      <c r="AP495" s="39"/>
    </row>
    <row r="496" spans="2:42">
      <c r="B496" s="39"/>
      <c r="C496" s="39"/>
      <c r="D496" s="39"/>
      <c r="E496" s="39"/>
      <c r="F496" s="39"/>
      <c r="G496" s="39"/>
      <c r="H496" s="39"/>
      <c r="I496" s="39"/>
      <c r="J496" s="39"/>
      <c r="K496" s="39"/>
      <c r="L496" s="100"/>
      <c r="N496" s="39"/>
      <c r="O496" s="39"/>
      <c r="P496" s="39"/>
      <c r="Q496" s="39"/>
      <c r="R496" s="39"/>
      <c r="S496" s="39"/>
      <c r="T496" s="39"/>
      <c r="U496" s="39"/>
      <c r="V496" s="39"/>
      <c r="W496" s="39"/>
      <c r="Y496" s="39"/>
      <c r="Z496" s="39"/>
      <c r="AA496" s="39"/>
      <c r="AB496" s="39"/>
      <c r="AC496" s="39"/>
      <c r="AD496" s="39"/>
      <c r="AE496" s="39"/>
      <c r="AF496" s="39"/>
      <c r="AG496" s="39"/>
      <c r="AH496" s="39"/>
      <c r="AI496" s="39"/>
      <c r="AJ496" s="423"/>
      <c r="AK496" s="39"/>
      <c r="AL496" s="423"/>
      <c r="AM496" s="39"/>
      <c r="AN496" s="39"/>
      <c r="AO496" s="39"/>
      <c r="AP496" s="39"/>
    </row>
    <row r="497" spans="2:42">
      <c r="B497" s="39"/>
      <c r="C497" s="39"/>
      <c r="D497" s="39"/>
      <c r="E497" s="39"/>
      <c r="F497" s="39"/>
      <c r="G497" s="39"/>
      <c r="H497" s="39"/>
      <c r="I497" s="39"/>
      <c r="J497" s="39"/>
      <c r="K497" s="39"/>
      <c r="L497" s="100"/>
      <c r="N497" s="39"/>
      <c r="O497" s="39"/>
      <c r="P497" s="39"/>
      <c r="Q497" s="39"/>
      <c r="R497" s="39"/>
      <c r="S497" s="39"/>
      <c r="T497" s="39"/>
      <c r="U497" s="39"/>
      <c r="V497" s="39"/>
      <c r="W497" s="39"/>
      <c r="Y497" s="39"/>
      <c r="Z497" s="39"/>
      <c r="AA497" s="39"/>
      <c r="AB497" s="39"/>
      <c r="AC497" s="39"/>
      <c r="AD497" s="39"/>
      <c r="AE497" s="39"/>
      <c r="AF497" s="39"/>
      <c r="AG497" s="39"/>
      <c r="AH497" s="39"/>
      <c r="AI497" s="39"/>
      <c r="AJ497" s="423"/>
      <c r="AK497" s="39"/>
      <c r="AL497" s="423"/>
      <c r="AM497" s="39"/>
      <c r="AN497" s="39"/>
      <c r="AO497" s="39"/>
      <c r="AP497" s="39"/>
    </row>
    <row r="498" spans="2:42">
      <c r="B498" s="39"/>
      <c r="C498" s="39"/>
      <c r="D498" s="39"/>
      <c r="E498" s="39"/>
      <c r="F498" s="39"/>
      <c r="G498" s="39"/>
      <c r="H498" s="39"/>
      <c r="I498" s="39"/>
      <c r="J498" s="39"/>
      <c r="K498" s="39"/>
      <c r="L498" s="100"/>
      <c r="N498" s="39"/>
      <c r="O498" s="39"/>
      <c r="P498" s="39"/>
      <c r="Q498" s="39"/>
      <c r="R498" s="39"/>
      <c r="S498" s="39"/>
      <c r="T498" s="39"/>
      <c r="U498" s="39"/>
      <c r="V498" s="39"/>
      <c r="W498" s="39"/>
      <c r="Y498" s="39"/>
      <c r="Z498" s="39"/>
      <c r="AA498" s="39"/>
      <c r="AB498" s="39"/>
      <c r="AC498" s="39"/>
      <c r="AD498" s="39"/>
      <c r="AE498" s="39"/>
      <c r="AF498" s="39"/>
      <c r="AG498" s="39"/>
      <c r="AH498" s="39"/>
      <c r="AI498" s="39"/>
      <c r="AJ498" s="423"/>
      <c r="AK498" s="39"/>
      <c r="AL498" s="423"/>
      <c r="AM498" s="39"/>
      <c r="AN498" s="39"/>
      <c r="AO498" s="39"/>
      <c r="AP498" s="39"/>
    </row>
    <row r="499" spans="2:42">
      <c r="B499" s="39"/>
      <c r="C499" s="39"/>
      <c r="D499" s="39"/>
      <c r="E499" s="39"/>
      <c r="F499" s="39"/>
      <c r="G499" s="39"/>
      <c r="H499" s="39"/>
      <c r="I499" s="39"/>
      <c r="J499" s="39"/>
      <c r="K499" s="39"/>
      <c r="L499" s="100"/>
      <c r="N499" s="39"/>
      <c r="O499" s="39"/>
      <c r="P499" s="39"/>
      <c r="Q499" s="39"/>
      <c r="R499" s="39"/>
      <c r="S499" s="39"/>
      <c r="T499" s="39"/>
      <c r="U499" s="39"/>
      <c r="V499" s="39"/>
      <c r="W499" s="39"/>
      <c r="Y499" s="39"/>
      <c r="Z499" s="39"/>
      <c r="AA499" s="39"/>
      <c r="AB499" s="39"/>
      <c r="AC499" s="39"/>
      <c r="AD499" s="39"/>
      <c r="AE499" s="39"/>
      <c r="AF499" s="39"/>
      <c r="AG499" s="39"/>
      <c r="AH499" s="39"/>
      <c r="AI499" s="39"/>
      <c r="AJ499" s="423"/>
      <c r="AK499" s="39"/>
      <c r="AL499" s="423"/>
      <c r="AM499" s="39"/>
      <c r="AN499" s="39"/>
      <c r="AO499" s="39"/>
      <c r="AP499" s="39"/>
    </row>
    <row r="500" spans="2:42">
      <c r="B500" s="39"/>
      <c r="C500" s="39"/>
      <c r="D500" s="39"/>
      <c r="E500" s="39"/>
      <c r="F500" s="39"/>
      <c r="G500" s="39"/>
      <c r="H500" s="39"/>
      <c r="I500" s="39"/>
      <c r="J500" s="39"/>
      <c r="K500" s="39"/>
      <c r="L500" s="100"/>
      <c r="N500" s="39"/>
      <c r="O500" s="39"/>
      <c r="P500" s="39"/>
      <c r="Q500" s="39"/>
      <c r="R500" s="39"/>
      <c r="S500" s="39"/>
      <c r="T500" s="39"/>
      <c r="U500" s="39"/>
      <c r="V500" s="39"/>
      <c r="W500" s="39"/>
      <c r="Y500" s="39"/>
      <c r="Z500" s="39"/>
      <c r="AA500" s="39"/>
      <c r="AB500" s="39"/>
      <c r="AC500" s="39"/>
      <c r="AD500" s="39"/>
      <c r="AE500" s="39"/>
      <c r="AF500" s="39"/>
      <c r="AG500" s="39"/>
      <c r="AH500" s="39"/>
      <c r="AI500" s="39"/>
      <c r="AJ500" s="423"/>
      <c r="AK500" s="39"/>
      <c r="AL500" s="423"/>
      <c r="AM500" s="39"/>
      <c r="AN500" s="39"/>
      <c r="AO500" s="39"/>
      <c r="AP500" s="39"/>
    </row>
    <row r="501" spans="2:42">
      <c r="B501" s="39"/>
      <c r="C501" s="39"/>
      <c r="D501" s="39"/>
      <c r="E501" s="39"/>
      <c r="F501" s="39"/>
      <c r="G501" s="39"/>
      <c r="H501" s="39"/>
      <c r="I501" s="39"/>
      <c r="J501" s="39"/>
      <c r="K501" s="39"/>
      <c r="L501" s="100"/>
      <c r="N501" s="39"/>
      <c r="O501" s="39"/>
      <c r="P501" s="39"/>
      <c r="Q501" s="39"/>
      <c r="R501" s="39"/>
      <c r="S501" s="39"/>
      <c r="T501" s="39"/>
      <c r="U501" s="39"/>
      <c r="V501" s="39"/>
      <c r="W501" s="39"/>
      <c r="Y501" s="39"/>
      <c r="Z501" s="39"/>
      <c r="AA501" s="39"/>
      <c r="AB501" s="39"/>
      <c r="AC501" s="39"/>
      <c r="AD501" s="39"/>
      <c r="AE501" s="39"/>
      <c r="AF501" s="39"/>
      <c r="AG501" s="39"/>
      <c r="AH501" s="39"/>
      <c r="AI501" s="39"/>
      <c r="AJ501" s="423"/>
      <c r="AK501" s="39"/>
      <c r="AL501" s="423"/>
      <c r="AM501" s="39"/>
      <c r="AN501" s="39"/>
      <c r="AO501" s="39"/>
      <c r="AP501" s="39"/>
    </row>
    <row r="502" spans="2:42">
      <c r="B502" s="39"/>
      <c r="C502" s="39"/>
      <c r="D502" s="39"/>
      <c r="E502" s="39"/>
      <c r="F502" s="39"/>
      <c r="G502" s="39"/>
      <c r="H502" s="39"/>
      <c r="I502" s="39"/>
      <c r="J502" s="39"/>
      <c r="K502" s="39"/>
      <c r="L502" s="100"/>
      <c r="N502" s="39"/>
      <c r="O502" s="39"/>
      <c r="P502" s="39"/>
      <c r="Q502" s="39"/>
      <c r="R502" s="39"/>
      <c r="S502" s="39"/>
      <c r="T502" s="39"/>
      <c r="U502" s="39"/>
      <c r="V502" s="39"/>
      <c r="W502" s="39"/>
      <c r="Y502" s="39"/>
      <c r="Z502" s="39"/>
      <c r="AA502" s="39"/>
      <c r="AB502" s="39"/>
      <c r="AC502" s="39"/>
      <c r="AD502" s="39"/>
      <c r="AE502" s="39"/>
      <c r="AF502" s="39"/>
      <c r="AG502" s="39"/>
      <c r="AH502" s="39"/>
      <c r="AI502" s="39"/>
      <c r="AJ502" s="423"/>
      <c r="AK502" s="39"/>
      <c r="AL502" s="423"/>
      <c r="AM502" s="39"/>
      <c r="AN502" s="39"/>
      <c r="AO502" s="39"/>
      <c r="AP502" s="39"/>
    </row>
    <row r="503" spans="2:42">
      <c r="B503" s="39"/>
      <c r="C503" s="39"/>
      <c r="D503" s="39"/>
      <c r="E503" s="39"/>
      <c r="F503" s="39"/>
      <c r="G503" s="39"/>
      <c r="H503" s="39"/>
      <c r="I503" s="39"/>
      <c r="J503" s="39"/>
      <c r="K503" s="39"/>
      <c r="L503" s="100"/>
      <c r="N503" s="39"/>
      <c r="O503" s="39"/>
      <c r="P503" s="39"/>
      <c r="Q503" s="39"/>
      <c r="R503" s="39"/>
      <c r="S503" s="39"/>
      <c r="T503" s="39"/>
      <c r="U503" s="39"/>
      <c r="V503" s="39"/>
      <c r="W503" s="39"/>
      <c r="Y503" s="39"/>
      <c r="Z503" s="39"/>
      <c r="AA503" s="39"/>
      <c r="AB503" s="39"/>
      <c r="AC503" s="39"/>
      <c r="AD503" s="39"/>
      <c r="AE503" s="39"/>
      <c r="AF503" s="39"/>
      <c r="AG503" s="39"/>
      <c r="AH503" s="39"/>
      <c r="AI503" s="39"/>
      <c r="AJ503" s="423"/>
      <c r="AK503" s="39"/>
      <c r="AL503" s="423"/>
      <c r="AM503" s="39"/>
      <c r="AN503" s="39"/>
      <c r="AO503" s="39"/>
      <c r="AP503" s="39"/>
    </row>
    <row r="504" spans="2:42">
      <c r="B504" s="39"/>
      <c r="C504" s="39"/>
      <c r="D504" s="39"/>
      <c r="E504" s="39"/>
      <c r="F504" s="39"/>
      <c r="G504" s="39"/>
      <c r="H504" s="39"/>
      <c r="I504" s="39"/>
      <c r="J504" s="39"/>
      <c r="K504" s="39"/>
      <c r="L504" s="100"/>
      <c r="N504" s="39"/>
      <c r="O504" s="39"/>
      <c r="P504" s="39"/>
      <c r="Q504" s="39"/>
      <c r="R504" s="39"/>
      <c r="S504" s="39"/>
      <c r="T504" s="39"/>
      <c r="U504" s="39"/>
      <c r="V504" s="39"/>
      <c r="W504" s="39"/>
      <c r="Y504" s="39"/>
      <c r="Z504" s="39"/>
      <c r="AA504" s="39"/>
      <c r="AB504" s="39"/>
      <c r="AC504" s="39"/>
      <c r="AD504" s="39"/>
      <c r="AE504" s="39"/>
      <c r="AF504" s="39"/>
      <c r="AG504" s="39"/>
      <c r="AH504" s="39"/>
      <c r="AI504" s="39"/>
      <c r="AJ504" s="423"/>
      <c r="AK504" s="39"/>
      <c r="AL504" s="423"/>
      <c r="AM504" s="39"/>
      <c r="AN504" s="39"/>
      <c r="AO504" s="39"/>
      <c r="AP504" s="39"/>
    </row>
    <row r="505" spans="2:42">
      <c r="B505" s="39"/>
      <c r="C505" s="39"/>
      <c r="D505" s="39"/>
      <c r="E505" s="39"/>
      <c r="F505" s="39"/>
      <c r="G505" s="39"/>
      <c r="H505" s="39"/>
      <c r="I505" s="39"/>
      <c r="J505" s="39"/>
      <c r="K505" s="39"/>
      <c r="L505" s="100"/>
      <c r="N505" s="39"/>
      <c r="O505" s="39"/>
      <c r="P505" s="39"/>
      <c r="Q505" s="39"/>
      <c r="R505" s="39"/>
      <c r="S505" s="39"/>
      <c r="T505" s="39"/>
      <c r="U505" s="39"/>
      <c r="V505" s="39"/>
      <c r="W505" s="39"/>
      <c r="Y505" s="39"/>
      <c r="Z505" s="39"/>
      <c r="AA505" s="39"/>
      <c r="AB505" s="39"/>
      <c r="AC505" s="39"/>
      <c r="AD505" s="39"/>
      <c r="AE505" s="39"/>
      <c r="AF505" s="39"/>
      <c r="AG505" s="39"/>
      <c r="AH505" s="39"/>
      <c r="AI505" s="39"/>
      <c r="AJ505" s="423"/>
      <c r="AK505" s="39"/>
      <c r="AL505" s="423"/>
      <c r="AM505" s="39"/>
      <c r="AN505" s="39"/>
      <c r="AO505" s="39"/>
      <c r="AP505" s="39"/>
    </row>
    <row r="506" spans="2:42">
      <c r="B506" s="39"/>
      <c r="C506" s="39"/>
      <c r="D506" s="39"/>
      <c r="E506" s="39"/>
      <c r="F506" s="39"/>
      <c r="G506" s="39"/>
      <c r="H506" s="39"/>
      <c r="I506" s="39"/>
      <c r="J506" s="39"/>
      <c r="K506" s="39"/>
      <c r="L506" s="100"/>
      <c r="N506" s="39"/>
      <c r="O506" s="39"/>
      <c r="P506" s="39"/>
      <c r="Q506" s="39"/>
      <c r="R506" s="39"/>
      <c r="S506" s="39"/>
      <c r="T506" s="39"/>
      <c r="U506" s="39"/>
      <c r="V506" s="39"/>
      <c r="W506" s="39"/>
      <c r="Y506" s="39"/>
      <c r="Z506" s="39"/>
      <c r="AA506" s="39"/>
      <c r="AB506" s="39"/>
      <c r="AC506" s="39"/>
      <c r="AD506" s="39"/>
      <c r="AE506" s="39"/>
      <c r="AF506" s="39"/>
      <c r="AG506" s="39"/>
      <c r="AH506" s="39"/>
      <c r="AI506" s="39"/>
      <c r="AJ506" s="423"/>
      <c r="AK506" s="39"/>
      <c r="AL506" s="423"/>
      <c r="AM506" s="39"/>
      <c r="AN506" s="39"/>
      <c r="AO506" s="39"/>
      <c r="AP506" s="39"/>
    </row>
    <row r="507" spans="2:42">
      <c r="B507" s="39"/>
      <c r="C507" s="39"/>
      <c r="D507" s="39"/>
      <c r="E507" s="39"/>
      <c r="F507" s="39"/>
      <c r="G507" s="39"/>
      <c r="H507" s="39"/>
      <c r="I507" s="39"/>
      <c r="J507" s="39"/>
      <c r="K507" s="39"/>
      <c r="L507" s="100"/>
      <c r="N507" s="39"/>
      <c r="O507" s="39"/>
      <c r="P507" s="39"/>
      <c r="Q507" s="39"/>
      <c r="R507" s="39"/>
      <c r="S507" s="39"/>
      <c r="T507" s="39"/>
      <c r="U507" s="39"/>
      <c r="V507" s="39"/>
      <c r="W507" s="39"/>
      <c r="Y507" s="39"/>
      <c r="Z507" s="39"/>
      <c r="AA507" s="39"/>
      <c r="AB507" s="39"/>
      <c r="AC507" s="39"/>
      <c r="AD507" s="39"/>
      <c r="AE507" s="39"/>
      <c r="AF507" s="39"/>
      <c r="AG507" s="39"/>
      <c r="AH507" s="39"/>
      <c r="AI507" s="39"/>
      <c r="AJ507" s="423"/>
      <c r="AK507" s="39"/>
      <c r="AL507" s="423"/>
      <c r="AM507" s="39"/>
      <c r="AN507" s="39"/>
      <c r="AO507" s="39"/>
      <c r="AP507" s="39"/>
    </row>
    <row r="508" spans="2:42">
      <c r="B508" s="39"/>
      <c r="C508" s="39"/>
      <c r="D508" s="39"/>
      <c r="E508" s="39"/>
      <c r="F508" s="39"/>
      <c r="G508" s="39"/>
      <c r="H508" s="39"/>
      <c r="I508" s="39"/>
      <c r="J508" s="39"/>
      <c r="K508" s="39"/>
      <c r="L508" s="100"/>
      <c r="N508" s="39"/>
      <c r="O508" s="39"/>
      <c r="P508" s="39"/>
      <c r="Q508" s="39"/>
      <c r="R508" s="39"/>
      <c r="S508" s="39"/>
      <c r="T508" s="39"/>
      <c r="U508" s="39"/>
      <c r="V508" s="39"/>
      <c r="W508" s="39"/>
      <c r="Y508" s="39"/>
      <c r="Z508" s="39"/>
      <c r="AA508" s="39"/>
      <c r="AB508" s="39"/>
      <c r="AC508" s="39"/>
      <c r="AD508" s="39"/>
      <c r="AE508" s="39"/>
      <c r="AF508" s="39"/>
      <c r="AG508" s="39"/>
      <c r="AH508" s="39"/>
      <c r="AI508" s="39"/>
      <c r="AJ508" s="423"/>
      <c r="AK508" s="39"/>
      <c r="AL508" s="423"/>
      <c r="AM508" s="39"/>
      <c r="AN508" s="39"/>
      <c r="AO508" s="39"/>
      <c r="AP508" s="39"/>
    </row>
    <row r="509" spans="2:42">
      <c r="B509" s="39"/>
      <c r="C509" s="39"/>
      <c r="D509" s="39"/>
      <c r="E509" s="39"/>
      <c r="F509" s="39"/>
      <c r="G509" s="39"/>
      <c r="H509" s="39"/>
      <c r="I509" s="39"/>
      <c r="J509" s="39"/>
      <c r="K509" s="39"/>
      <c r="L509" s="100"/>
      <c r="N509" s="39"/>
      <c r="O509" s="39"/>
      <c r="P509" s="39"/>
      <c r="Q509" s="39"/>
      <c r="R509" s="39"/>
      <c r="S509" s="39"/>
      <c r="T509" s="39"/>
      <c r="U509" s="39"/>
      <c r="V509" s="39"/>
      <c r="W509" s="39"/>
      <c r="Y509" s="39"/>
      <c r="Z509" s="39"/>
      <c r="AA509" s="39"/>
      <c r="AB509" s="39"/>
      <c r="AC509" s="39"/>
      <c r="AD509" s="39"/>
      <c r="AE509" s="39"/>
      <c r="AF509" s="39"/>
      <c r="AG509" s="39"/>
      <c r="AH509" s="39"/>
      <c r="AI509" s="39"/>
      <c r="AJ509" s="423"/>
      <c r="AK509" s="39"/>
      <c r="AL509" s="423"/>
      <c r="AM509" s="39"/>
      <c r="AN509" s="39"/>
      <c r="AO509" s="39"/>
      <c r="AP509" s="39"/>
    </row>
    <row r="510" spans="2:42">
      <c r="B510" s="39"/>
      <c r="C510" s="39"/>
      <c r="D510" s="39"/>
      <c r="E510" s="39"/>
      <c r="F510" s="39"/>
      <c r="G510" s="39"/>
      <c r="H510" s="39"/>
      <c r="I510" s="39"/>
      <c r="J510" s="39"/>
      <c r="K510" s="39"/>
      <c r="L510" s="100"/>
      <c r="N510" s="39"/>
      <c r="O510" s="39"/>
      <c r="P510" s="39"/>
      <c r="Q510" s="39"/>
      <c r="R510" s="39"/>
      <c r="S510" s="39"/>
      <c r="T510" s="39"/>
      <c r="U510" s="39"/>
      <c r="V510" s="39"/>
      <c r="W510" s="39"/>
      <c r="Y510" s="39"/>
      <c r="Z510" s="39"/>
      <c r="AA510" s="39"/>
      <c r="AB510" s="39"/>
      <c r="AC510" s="39"/>
      <c r="AD510" s="39"/>
      <c r="AE510" s="39"/>
      <c r="AF510" s="39"/>
      <c r="AG510" s="39"/>
      <c r="AH510" s="39"/>
      <c r="AI510" s="39"/>
      <c r="AJ510" s="423"/>
      <c r="AK510" s="39"/>
      <c r="AL510" s="423"/>
      <c r="AM510" s="39"/>
      <c r="AN510" s="39"/>
      <c r="AO510" s="39"/>
      <c r="AP510" s="39"/>
    </row>
    <row r="511" spans="2:42">
      <c r="B511" s="39"/>
      <c r="C511" s="39"/>
      <c r="D511" s="39"/>
      <c r="E511" s="39"/>
      <c r="F511" s="39"/>
      <c r="G511" s="39"/>
      <c r="H511" s="39"/>
      <c r="I511" s="39"/>
      <c r="J511" s="39"/>
      <c r="K511" s="39"/>
      <c r="L511" s="100"/>
      <c r="N511" s="39"/>
      <c r="O511" s="39"/>
      <c r="P511" s="39"/>
      <c r="Q511" s="39"/>
      <c r="R511" s="39"/>
      <c r="S511" s="39"/>
      <c r="T511" s="39"/>
      <c r="U511" s="39"/>
      <c r="V511" s="39"/>
      <c r="W511" s="39"/>
      <c r="Y511" s="39"/>
      <c r="Z511" s="39"/>
      <c r="AA511" s="39"/>
      <c r="AB511" s="39"/>
      <c r="AC511" s="39"/>
      <c r="AD511" s="39"/>
      <c r="AE511" s="39"/>
      <c r="AF511" s="39"/>
      <c r="AG511" s="39"/>
      <c r="AH511" s="39"/>
      <c r="AI511" s="39"/>
      <c r="AJ511" s="423"/>
      <c r="AK511" s="39"/>
      <c r="AL511" s="423"/>
      <c r="AM511" s="39"/>
      <c r="AN511" s="39"/>
      <c r="AO511" s="39"/>
      <c r="AP511" s="39"/>
    </row>
    <row r="512" spans="2:42">
      <c r="B512" s="39"/>
      <c r="C512" s="39"/>
      <c r="D512" s="39"/>
      <c r="E512" s="39"/>
      <c r="F512" s="39"/>
      <c r="G512" s="39"/>
      <c r="H512" s="39"/>
      <c r="I512" s="39"/>
      <c r="J512" s="39"/>
      <c r="K512" s="39"/>
      <c r="L512" s="100"/>
      <c r="N512" s="39"/>
      <c r="O512" s="39"/>
      <c r="P512" s="39"/>
      <c r="Q512" s="39"/>
      <c r="R512" s="39"/>
      <c r="S512" s="39"/>
      <c r="T512" s="39"/>
      <c r="U512" s="39"/>
      <c r="V512" s="39"/>
      <c r="W512" s="39"/>
      <c r="Y512" s="39"/>
      <c r="Z512" s="39"/>
      <c r="AA512" s="39"/>
      <c r="AB512" s="39"/>
      <c r="AC512" s="39"/>
      <c r="AD512" s="39"/>
      <c r="AE512" s="39"/>
      <c r="AF512" s="39"/>
      <c r="AG512" s="39"/>
      <c r="AH512" s="39"/>
      <c r="AI512" s="39"/>
      <c r="AJ512" s="423"/>
      <c r="AK512" s="39"/>
      <c r="AL512" s="423"/>
      <c r="AM512" s="39"/>
      <c r="AN512" s="39"/>
      <c r="AO512" s="39"/>
      <c r="AP512" s="39"/>
    </row>
    <row r="513" spans="2:42">
      <c r="B513" s="39"/>
      <c r="C513" s="39"/>
      <c r="D513" s="39"/>
      <c r="E513" s="39"/>
      <c r="F513" s="39"/>
      <c r="G513" s="39"/>
      <c r="H513" s="39"/>
      <c r="I513" s="39"/>
      <c r="J513" s="39"/>
      <c r="K513" s="39"/>
      <c r="L513" s="100"/>
      <c r="N513" s="39"/>
      <c r="O513" s="39"/>
      <c r="P513" s="39"/>
      <c r="Q513" s="39"/>
      <c r="R513" s="39"/>
      <c r="S513" s="39"/>
      <c r="T513" s="39"/>
      <c r="U513" s="39"/>
      <c r="V513" s="39"/>
      <c r="W513" s="39"/>
      <c r="Y513" s="39"/>
      <c r="Z513" s="39"/>
      <c r="AA513" s="39"/>
      <c r="AB513" s="39"/>
      <c r="AC513" s="39"/>
      <c r="AD513" s="39"/>
      <c r="AE513" s="39"/>
      <c r="AF513" s="39"/>
      <c r="AG513" s="39"/>
      <c r="AH513" s="39"/>
      <c r="AI513" s="39"/>
      <c r="AJ513" s="423"/>
      <c r="AK513" s="39"/>
      <c r="AL513" s="423"/>
      <c r="AM513" s="39"/>
      <c r="AN513" s="39"/>
      <c r="AO513" s="39"/>
      <c r="AP513" s="39"/>
    </row>
    <row r="514" spans="2:42">
      <c r="B514" s="39"/>
      <c r="C514" s="39"/>
      <c r="D514" s="39"/>
      <c r="E514" s="39"/>
      <c r="F514" s="39"/>
      <c r="G514" s="39"/>
      <c r="H514" s="39"/>
      <c r="I514" s="39"/>
      <c r="J514" s="39"/>
      <c r="K514" s="39"/>
      <c r="L514" s="100"/>
      <c r="N514" s="39"/>
      <c r="O514" s="39"/>
      <c r="P514" s="39"/>
      <c r="Q514" s="39"/>
      <c r="R514" s="39"/>
      <c r="S514" s="39"/>
      <c r="T514" s="39"/>
      <c r="U514" s="39"/>
      <c r="V514" s="39"/>
      <c r="W514" s="39"/>
      <c r="Y514" s="39"/>
      <c r="Z514" s="39"/>
      <c r="AA514" s="39"/>
      <c r="AB514" s="39"/>
      <c r="AC514" s="39"/>
      <c r="AD514" s="39"/>
      <c r="AE514" s="39"/>
      <c r="AF514" s="39"/>
      <c r="AG514" s="39"/>
      <c r="AH514" s="39"/>
      <c r="AI514" s="39"/>
      <c r="AJ514" s="423"/>
      <c r="AK514" s="39"/>
      <c r="AL514" s="423"/>
      <c r="AM514" s="39"/>
      <c r="AN514" s="39"/>
      <c r="AO514" s="39"/>
      <c r="AP514" s="39"/>
    </row>
    <row r="515" spans="2:42">
      <c r="B515" s="39"/>
      <c r="C515" s="39"/>
      <c r="D515" s="39"/>
      <c r="E515" s="39"/>
      <c r="F515" s="39"/>
      <c r="G515" s="39"/>
      <c r="H515" s="39"/>
      <c r="I515" s="39"/>
      <c r="J515" s="39"/>
      <c r="K515" s="39"/>
      <c r="L515" s="100"/>
      <c r="N515" s="39"/>
      <c r="O515" s="39"/>
      <c r="P515" s="39"/>
      <c r="Q515" s="39"/>
      <c r="R515" s="39"/>
      <c r="S515" s="39"/>
      <c r="T515" s="39"/>
      <c r="U515" s="39"/>
      <c r="V515" s="39"/>
      <c r="W515" s="39"/>
      <c r="Y515" s="39"/>
      <c r="Z515" s="39"/>
      <c r="AA515" s="39"/>
      <c r="AB515" s="39"/>
      <c r="AC515" s="39"/>
      <c r="AD515" s="39"/>
      <c r="AE515" s="39"/>
      <c r="AF515" s="39"/>
      <c r="AG515" s="39"/>
      <c r="AH515" s="39"/>
      <c r="AI515" s="39"/>
      <c r="AJ515" s="423"/>
      <c r="AK515" s="39"/>
      <c r="AL515" s="423"/>
      <c r="AM515" s="39"/>
      <c r="AN515" s="39"/>
      <c r="AO515" s="39"/>
      <c r="AP515" s="39"/>
    </row>
    <row r="516" spans="2:42">
      <c r="B516" s="39"/>
      <c r="C516" s="39"/>
      <c r="D516" s="39"/>
      <c r="E516" s="39"/>
      <c r="F516" s="39"/>
      <c r="G516" s="39"/>
      <c r="H516" s="39"/>
      <c r="I516" s="39"/>
      <c r="J516" s="39"/>
      <c r="K516" s="39"/>
      <c r="L516" s="100"/>
      <c r="N516" s="39"/>
      <c r="O516" s="39"/>
      <c r="P516" s="39"/>
      <c r="Q516" s="39"/>
      <c r="R516" s="39"/>
      <c r="S516" s="39"/>
      <c r="T516" s="39"/>
      <c r="U516" s="39"/>
      <c r="V516" s="39"/>
      <c r="W516" s="39"/>
      <c r="Y516" s="39"/>
      <c r="Z516" s="39"/>
      <c r="AA516" s="39"/>
      <c r="AB516" s="39"/>
      <c r="AC516" s="39"/>
      <c r="AD516" s="39"/>
      <c r="AE516" s="39"/>
      <c r="AF516" s="39"/>
      <c r="AG516" s="39"/>
      <c r="AH516" s="39"/>
      <c r="AI516" s="39"/>
      <c r="AJ516" s="423"/>
      <c r="AK516" s="39"/>
      <c r="AL516" s="423"/>
      <c r="AM516" s="39"/>
      <c r="AN516" s="39"/>
      <c r="AO516" s="39"/>
      <c r="AP516" s="39"/>
    </row>
    <row r="517" spans="2:42">
      <c r="B517" s="39"/>
      <c r="C517" s="39"/>
      <c r="D517" s="39"/>
      <c r="E517" s="39"/>
      <c r="F517" s="39"/>
      <c r="G517" s="39"/>
      <c r="H517" s="39"/>
      <c r="I517" s="39"/>
      <c r="J517" s="39"/>
      <c r="K517" s="39"/>
      <c r="L517" s="100"/>
      <c r="N517" s="39"/>
      <c r="O517" s="39"/>
      <c r="P517" s="39"/>
      <c r="Q517" s="39"/>
      <c r="R517" s="39"/>
      <c r="S517" s="39"/>
      <c r="T517" s="39"/>
      <c r="U517" s="39"/>
      <c r="V517" s="39"/>
      <c r="W517" s="39"/>
      <c r="Y517" s="39"/>
      <c r="Z517" s="39"/>
      <c r="AA517" s="39"/>
      <c r="AB517" s="39"/>
      <c r="AC517" s="39"/>
      <c r="AD517" s="39"/>
      <c r="AE517" s="39"/>
      <c r="AF517" s="39"/>
      <c r="AG517" s="39"/>
      <c r="AH517" s="39"/>
      <c r="AI517" s="39"/>
      <c r="AJ517" s="423"/>
      <c r="AK517" s="39"/>
      <c r="AL517" s="423"/>
      <c r="AM517" s="39"/>
      <c r="AN517" s="39"/>
      <c r="AO517" s="39"/>
      <c r="AP517" s="39"/>
    </row>
    <row r="518" spans="2:42">
      <c r="B518" s="39"/>
      <c r="C518" s="39"/>
      <c r="D518" s="39"/>
      <c r="E518" s="39"/>
      <c r="F518" s="39"/>
      <c r="G518" s="39"/>
      <c r="H518" s="39"/>
      <c r="I518" s="39"/>
      <c r="J518" s="39"/>
      <c r="K518" s="39"/>
      <c r="L518" s="100"/>
      <c r="N518" s="39"/>
      <c r="O518" s="39"/>
      <c r="P518" s="39"/>
      <c r="Q518" s="39"/>
      <c r="R518" s="39"/>
      <c r="S518" s="39"/>
      <c r="T518" s="39"/>
      <c r="U518" s="39"/>
      <c r="V518" s="39"/>
      <c r="W518" s="39"/>
      <c r="Y518" s="39"/>
      <c r="Z518" s="39"/>
      <c r="AA518" s="39"/>
      <c r="AB518" s="39"/>
      <c r="AC518" s="39"/>
      <c r="AD518" s="39"/>
      <c r="AE518" s="39"/>
      <c r="AF518" s="39"/>
      <c r="AG518" s="39"/>
      <c r="AH518" s="39"/>
      <c r="AI518" s="39"/>
      <c r="AJ518" s="423"/>
      <c r="AK518" s="39"/>
      <c r="AL518" s="423"/>
      <c r="AM518" s="39"/>
      <c r="AN518" s="39"/>
      <c r="AO518" s="39"/>
      <c r="AP518" s="39"/>
    </row>
    <row r="519" spans="2:42">
      <c r="B519" s="39"/>
      <c r="C519" s="39"/>
      <c r="D519" s="39"/>
      <c r="E519" s="39"/>
      <c r="F519" s="39"/>
      <c r="G519" s="39"/>
      <c r="H519" s="39"/>
      <c r="I519" s="39"/>
      <c r="J519" s="39"/>
      <c r="K519" s="39"/>
      <c r="L519" s="100"/>
      <c r="N519" s="39"/>
      <c r="O519" s="39"/>
      <c r="P519" s="39"/>
      <c r="Q519" s="39"/>
      <c r="R519" s="39"/>
      <c r="S519" s="39"/>
      <c r="T519" s="39"/>
      <c r="U519" s="39"/>
      <c r="V519" s="39"/>
      <c r="W519" s="39"/>
      <c r="Y519" s="39"/>
      <c r="Z519" s="39"/>
      <c r="AA519" s="39"/>
      <c r="AB519" s="39"/>
      <c r="AC519" s="39"/>
      <c r="AD519" s="39"/>
      <c r="AE519" s="39"/>
      <c r="AF519" s="39"/>
      <c r="AG519" s="39"/>
      <c r="AH519" s="39"/>
      <c r="AI519" s="39"/>
      <c r="AJ519" s="423"/>
      <c r="AK519" s="39"/>
      <c r="AL519" s="423"/>
      <c r="AM519" s="39"/>
      <c r="AN519" s="39"/>
      <c r="AO519" s="39"/>
      <c r="AP519" s="39"/>
    </row>
    <row r="520" spans="2:42">
      <c r="B520" s="39"/>
      <c r="C520" s="39"/>
      <c r="D520" s="39"/>
      <c r="E520" s="39"/>
      <c r="F520" s="39"/>
      <c r="G520" s="39"/>
      <c r="H520" s="39"/>
      <c r="I520" s="39"/>
      <c r="J520" s="39"/>
      <c r="K520" s="39"/>
      <c r="L520" s="100"/>
      <c r="N520" s="39"/>
      <c r="O520" s="39"/>
      <c r="P520" s="39"/>
      <c r="Q520" s="39"/>
      <c r="R520" s="39"/>
      <c r="S520" s="39"/>
      <c r="T520" s="39"/>
      <c r="U520" s="39"/>
      <c r="V520" s="39"/>
      <c r="W520" s="39"/>
      <c r="Y520" s="39"/>
      <c r="Z520" s="39"/>
      <c r="AA520" s="39"/>
      <c r="AB520" s="39"/>
      <c r="AC520" s="39"/>
      <c r="AD520" s="39"/>
      <c r="AE520" s="39"/>
      <c r="AF520" s="39"/>
      <c r="AG520" s="39"/>
      <c r="AH520" s="39"/>
      <c r="AI520" s="39"/>
      <c r="AJ520" s="423"/>
      <c r="AK520" s="39"/>
      <c r="AL520" s="423"/>
      <c r="AM520" s="39"/>
      <c r="AN520" s="39"/>
      <c r="AO520" s="39"/>
      <c r="AP520" s="39"/>
    </row>
    <row r="521" spans="2:42">
      <c r="B521" s="39"/>
      <c r="C521" s="39"/>
      <c r="D521" s="39"/>
      <c r="E521" s="39"/>
      <c r="F521" s="39"/>
      <c r="G521" s="39"/>
      <c r="H521" s="39"/>
      <c r="I521" s="39"/>
      <c r="J521" s="39"/>
      <c r="K521" s="39"/>
      <c r="L521" s="100"/>
      <c r="N521" s="39"/>
      <c r="O521" s="39"/>
      <c r="P521" s="39"/>
      <c r="Q521" s="39"/>
      <c r="R521" s="39"/>
      <c r="S521" s="39"/>
      <c r="T521" s="39"/>
      <c r="U521" s="39"/>
      <c r="V521" s="39"/>
      <c r="W521" s="39"/>
      <c r="Y521" s="39"/>
      <c r="Z521" s="39"/>
      <c r="AA521" s="39"/>
      <c r="AB521" s="39"/>
      <c r="AC521" s="39"/>
      <c r="AD521" s="39"/>
      <c r="AE521" s="39"/>
      <c r="AF521" s="39"/>
      <c r="AG521" s="39"/>
      <c r="AH521" s="39"/>
      <c r="AI521" s="39"/>
      <c r="AJ521" s="423"/>
      <c r="AK521" s="39"/>
      <c r="AL521" s="423"/>
      <c r="AM521" s="39"/>
      <c r="AN521" s="39"/>
      <c r="AO521" s="39"/>
      <c r="AP521" s="39"/>
    </row>
    <row r="522" spans="2:42">
      <c r="B522" s="39"/>
      <c r="C522" s="39"/>
      <c r="D522" s="39"/>
      <c r="E522" s="39"/>
      <c r="F522" s="39"/>
      <c r="G522" s="39"/>
      <c r="H522" s="39"/>
      <c r="I522" s="39"/>
      <c r="J522" s="39"/>
      <c r="K522" s="39"/>
      <c r="L522" s="100"/>
      <c r="N522" s="39"/>
      <c r="O522" s="39"/>
      <c r="P522" s="39"/>
      <c r="Q522" s="39"/>
      <c r="R522" s="39"/>
      <c r="S522" s="39"/>
      <c r="T522" s="39"/>
      <c r="U522" s="39"/>
      <c r="V522" s="39"/>
      <c r="W522" s="39"/>
      <c r="Y522" s="39"/>
      <c r="Z522" s="39"/>
      <c r="AA522" s="39"/>
      <c r="AB522" s="39"/>
      <c r="AC522" s="39"/>
      <c r="AD522" s="39"/>
      <c r="AE522" s="39"/>
      <c r="AF522" s="39"/>
      <c r="AG522" s="39"/>
      <c r="AH522" s="39"/>
      <c r="AI522" s="39"/>
      <c r="AJ522" s="423"/>
      <c r="AK522" s="39"/>
      <c r="AL522" s="423"/>
      <c r="AM522" s="39"/>
      <c r="AN522" s="39"/>
      <c r="AO522" s="39"/>
      <c r="AP522" s="39"/>
    </row>
    <row r="523" spans="2:42">
      <c r="B523" s="39"/>
      <c r="C523" s="39"/>
      <c r="D523" s="39"/>
      <c r="E523" s="39"/>
      <c r="F523" s="39"/>
      <c r="G523" s="39"/>
      <c r="H523" s="39"/>
      <c r="I523" s="39"/>
      <c r="J523" s="39"/>
      <c r="K523" s="39"/>
      <c r="L523" s="100"/>
      <c r="N523" s="39"/>
      <c r="O523" s="39"/>
      <c r="P523" s="39"/>
      <c r="Q523" s="39"/>
      <c r="R523" s="39"/>
      <c r="S523" s="39"/>
      <c r="T523" s="39"/>
      <c r="U523" s="39"/>
      <c r="V523" s="39"/>
      <c r="W523" s="39"/>
      <c r="Y523" s="39"/>
      <c r="Z523" s="39"/>
      <c r="AA523" s="39"/>
      <c r="AB523" s="39"/>
      <c r="AC523" s="39"/>
      <c r="AD523" s="39"/>
      <c r="AE523" s="39"/>
      <c r="AF523" s="39"/>
      <c r="AG523" s="39"/>
      <c r="AH523" s="39"/>
      <c r="AI523" s="39"/>
      <c r="AJ523" s="423"/>
      <c r="AK523" s="39"/>
      <c r="AL523" s="423"/>
      <c r="AM523" s="39"/>
      <c r="AN523" s="39"/>
      <c r="AO523" s="39"/>
      <c r="AP523" s="39"/>
    </row>
    <row r="524" spans="2:42">
      <c r="B524" s="39"/>
      <c r="C524" s="39"/>
      <c r="D524" s="39"/>
      <c r="E524" s="39"/>
      <c r="F524" s="39"/>
      <c r="G524" s="39"/>
      <c r="H524" s="39"/>
      <c r="I524" s="39"/>
      <c r="J524" s="39"/>
      <c r="K524" s="39"/>
      <c r="L524" s="100"/>
      <c r="N524" s="39"/>
      <c r="O524" s="39"/>
      <c r="P524" s="39"/>
      <c r="Q524" s="39"/>
      <c r="R524" s="39"/>
      <c r="S524" s="39"/>
      <c r="T524" s="39"/>
      <c r="U524" s="39"/>
      <c r="V524" s="39"/>
      <c r="W524" s="39"/>
      <c r="Y524" s="39"/>
      <c r="Z524" s="39"/>
      <c r="AA524" s="39"/>
      <c r="AB524" s="39"/>
      <c r="AC524" s="39"/>
      <c r="AD524" s="39"/>
      <c r="AE524" s="39"/>
      <c r="AF524" s="39"/>
      <c r="AG524" s="39"/>
      <c r="AH524" s="39"/>
      <c r="AI524" s="39"/>
      <c r="AJ524" s="423"/>
      <c r="AK524" s="39"/>
      <c r="AL524" s="423"/>
      <c r="AM524" s="39"/>
      <c r="AN524" s="39"/>
      <c r="AO524" s="39"/>
      <c r="AP524" s="39"/>
    </row>
    <row r="525" spans="2:42">
      <c r="B525" s="39"/>
      <c r="C525" s="39"/>
      <c r="D525" s="39"/>
      <c r="E525" s="39"/>
      <c r="F525" s="39"/>
      <c r="G525" s="39"/>
      <c r="H525" s="39"/>
      <c r="I525" s="39"/>
      <c r="J525" s="39"/>
      <c r="K525" s="39"/>
      <c r="L525" s="100"/>
      <c r="N525" s="39"/>
      <c r="O525" s="39"/>
      <c r="P525" s="39"/>
      <c r="Q525" s="39"/>
      <c r="R525" s="39"/>
      <c r="S525" s="39"/>
      <c r="T525" s="39"/>
      <c r="U525" s="39"/>
      <c r="V525" s="39"/>
      <c r="W525" s="39"/>
      <c r="Y525" s="39"/>
      <c r="Z525" s="39"/>
      <c r="AA525" s="39"/>
      <c r="AB525" s="39"/>
      <c r="AC525" s="39"/>
      <c r="AD525" s="39"/>
      <c r="AE525" s="39"/>
      <c r="AF525" s="39"/>
      <c r="AG525" s="39"/>
      <c r="AH525" s="39"/>
      <c r="AI525" s="39"/>
      <c r="AJ525" s="423"/>
      <c r="AK525" s="39"/>
      <c r="AL525" s="423"/>
      <c r="AM525" s="39"/>
      <c r="AN525" s="39"/>
      <c r="AO525" s="39"/>
      <c r="AP525" s="39"/>
    </row>
    <row r="526" spans="2:42">
      <c r="B526" s="39"/>
      <c r="C526" s="39"/>
      <c r="D526" s="39"/>
      <c r="E526" s="39"/>
      <c r="F526" s="39"/>
      <c r="G526" s="39"/>
      <c r="H526" s="39"/>
      <c r="I526" s="39"/>
      <c r="J526" s="39"/>
      <c r="K526" s="39"/>
      <c r="L526" s="100"/>
      <c r="N526" s="39"/>
      <c r="O526" s="39"/>
      <c r="P526" s="39"/>
      <c r="Q526" s="39"/>
      <c r="R526" s="39"/>
      <c r="S526" s="39"/>
      <c r="T526" s="39"/>
      <c r="U526" s="39"/>
      <c r="V526" s="39"/>
      <c r="W526" s="39"/>
      <c r="Y526" s="39"/>
      <c r="Z526" s="39"/>
      <c r="AA526" s="39"/>
      <c r="AB526" s="39"/>
      <c r="AC526" s="39"/>
      <c r="AD526" s="39"/>
      <c r="AE526" s="39"/>
      <c r="AF526" s="39"/>
      <c r="AG526" s="39"/>
      <c r="AH526" s="39"/>
      <c r="AI526" s="39"/>
      <c r="AJ526" s="423"/>
      <c r="AK526" s="39"/>
      <c r="AL526" s="423"/>
      <c r="AM526" s="39"/>
      <c r="AN526" s="39"/>
      <c r="AO526" s="39"/>
      <c r="AP526" s="39"/>
    </row>
    <row r="527" spans="2:42">
      <c r="B527" s="39"/>
      <c r="C527" s="39"/>
      <c r="D527" s="39"/>
      <c r="E527" s="39"/>
      <c r="F527" s="39"/>
      <c r="G527" s="39"/>
      <c r="H527" s="39"/>
      <c r="I527" s="39"/>
      <c r="J527" s="39"/>
      <c r="K527" s="39"/>
      <c r="L527" s="100"/>
      <c r="N527" s="39"/>
      <c r="O527" s="39"/>
      <c r="P527" s="39"/>
      <c r="Q527" s="39"/>
      <c r="R527" s="39"/>
      <c r="S527" s="39"/>
      <c r="T527" s="39"/>
      <c r="U527" s="39"/>
      <c r="V527" s="39"/>
      <c r="W527" s="39"/>
      <c r="Y527" s="39"/>
      <c r="Z527" s="39"/>
      <c r="AA527" s="39"/>
      <c r="AB527" s="39"/>
      <c r="AC527" s="39"/>
      <c r="AD527" s="39"/>
      <c r="AE527" s="39"/>
      <c r="AF527" s="39"/>
      <c r="AG527" s="39"/>
      <c r="AH527" s="39"/>
      <c r="AI527" s="39"/>
      <c r="AJ527" s="423"/>
      <c r="AK527" s="39"/>
      <c r="AL527" s="423"/>
      <c r="AM527" s="39"/>
      <c r="AN527" s="39"/>
      <c r="AO527" s="39"/>
      <c r="AP527" s="39"/>
    </row>
    <row r="528" spans="2:42">
      <c r="B528" s="39"/>
      <c r="C528" s="39"/>
      <c r="D528" s="39"/>
      <c r="E528" s="39"/>
      <c r="F528" s="39"/>
      <c r="G528" s="39"/>
      <c r="H528" s="39"/>
      <c r="I528" s="39"/>
      <c r="J528" s="39"/>
      <c r="K528" s="39"/>
      <c r="L528" s="100"/>
      <c r="N528" s="39"/>
      <c r="O528" s="39"/>
      <c r="P528" s="39"/>
      <c r="Q528" s="39"/>
      <c r="R528" s="39"/>
      <c r="S528" s="39"/>
      <c r="T528" s="39"/>
      <c r="U528" s="39"/>
      <c r="V528" s="39"/>
      <c r="W528" s="39"/>
      <c r="Y528" s="39"/>
      <c r="Z528" s="39"/>
      <c r="AA528" s="39"/>
      <c r="AB528" s="39"/>
      <c r="AC528" s="39"/>
      <c r="AD528" s="39"/>
      <c r="AE528" s="39"/>
      <c r="AF528" s="39"/>
      <c r="AG528" s="39"/>
      <c r="AH528" s="39"/>
      <c r="AI528" s="39"/>
      <c r="AJ528" s="423"/>
      <c r="AK528" s="39"/>
      <c r="AL528" s="423"/>
      <c r="AM528" s="39"/>
      <c r="AN528" s="39"/>
      <c r="AO528" s="39"/>
      <c r="AP528" s="39"/>
    </row>
    <row r="529" spans="2:42">
      <c r="B529" s="39"/>
      <c r="C529" s="39"/>
      <c r="D529" s="39"/>
      <c r="E529" s="39"/>
      <c r="F529" s="39"/>
      <c r="G529" s="39"/>
      <c r="H529" s="39"/>
      <c r="I529" s="39"/>
      <c r="J529" s="39"/>
      <c r="K529" s="39"/>
      <c r="L529" s="100"/>
      <c r="N529" s="39"/>
      <c r="O529" s="39"/>
      <c r="P529" s="39"/>
      <c r="Q529" s="39"/>
      <c r="R529" s="39"/>
      <c r="S529" s="39"/>
      <c r="T529" s="39"/>
      <c r="U529" s="39"/>
      <c r="V529" s="39"/>
      <c r="W529" s="39"/>
      <c r="Y529" s="39"/>
      <c r="Z529" s="39"/>
      <c r="AA529" s="39"/>
      <c r="AB529" s="39"/>
      <c r="AC529" s="39"/>
      <c r="AD529" s="39"/>
      <c r="AE529" s="39"/>
      <c r="AF529" s="39"/>
      <c r="AG529" s="39"/>
      <c r="AH529" s="39"/>
      <c r="AI529" s="39"/>
      <c r="AJ529" s="423"/>
      <c r="AK529" s="39"/>
      <c r="AL529" s="423"/>
      <c r="AM529" s="39"/>
      <c r="AN529" s="39"/>
      <c r="AO529" s="39"/>
      <c r="AP529" s="39"/>
    </row>
    <row r="530" spans="2:42">
      <c r="B530" s="39"/>
      <c r="C530" s="39"/>
      <c r="D530" s="39"/>
      <c r="E530" s="39"/>
      <c r="F530" s="39"/>
      <c r="G530" s="39"/>
      <c r="H530" s="39"/>
      <c r="I530" s="39"/>
      <c r="J530" s="39"/>
      <c r="K530" s="39"/>
      <c r="L530" s="100"/>
      <c r="N530" s="39"/>
      <c r="O530" s="39"/>
      <c r="P530" s="39"/>
      <c r="Q530" s="39"/>
      <c r="R530" s="39"/>
      <c r="S530" s="39"/>
      <c r="T530" s="39"/>
      <c r="U530" s="39"/>
      <c r="V530" s="39"/>
      <c r="W530" s="39"/>
      <c r="Y530" s="39"/>
      <c r="Z530" s="39"/>
      <c r="AA530" s="39"/>
      <c r="AB530" s="39"/>
      <c r="AC530" s="39"/>
      <c r="AD530" s="39"/>
      <c r="AE530" s="39"/>
      <c r="AF530" s="39"/>
      <c r="AG530" s="39"/>
      <c r="AH530" s="39"/>
      <c r="AI530" s="39"/>
      <c r="AJ530" s="423"/>
      <c r="AK530" s="39"/>
      <c r="AL530" s="423"/>
      <c r="AM530" s="39"/>
      <c r="AN530" s="39"/>
      <c r="AO530" s="39"/>
      <c r="AP530" s="39"/>
    </row>
    <row r="531" spans="2:42">
      <c r="B531" s="39"/>
      <c r="C531" s="39"/>
      <c r="D531" s="39"/>
      <c r="E531" s="39"/>
      <c r="F531" s="39"/>
      <c r="G531" s="39"/>
      <c r="H531" s="39"/>
      <c r="I531" s="39"/>
      <c r="J531" s="39"/>
      <c r="K531" s="39"/>
      <c r="L531" s="100"/>
      <c r="N531" s="39"/>
      <c r="O531" s="39"/>
      <c r="P531" s="39"/>
      <c r="Q531" s="39"/>
      <c r="R531" s="39"/>
      <c r="S531" s="39"/>
      <c r="T531" s="39"/>
      <c r="U531" s="39"/>
      <c r="V531" s="39"/>
      <c r="W531" s="39"/>
      <c r="Y531" s="39"/>
      <c r="Z531" s="39"/>
      <c r="AA531" s="39"/>
      <c r="AB531" s="39"/>
      <c r="AC531" s="39"/>
      <c r="AD531" s="39"/>
      <c r="AE531" s="39"/>
      <c r="AF531" s="39"/>
      <c r="AG531" s="39"/>
      <c r="AH531" s="39"/>
      <c r="AI531" s="39"/>
      <c r="AJ531" s="423"/>
      <c r="AK531" s="39"/>
      <c r="AL531" s="423"/>
      <c r="AM531" s="39"/>
      <c r="AN531" s="39"/>
      <c r="AO531" s="39"/>
      <c r="AP531" s="39"/>
    </row>
    <row r="532" spans="2:42">
      <c r="B532" s="39"/>
      <c r="C532" s="39"/>
      <c r="D532" s="39"/>
      <c r="E532" s="39"/>
      <c r="F532" s="39"/>
      <c r="G532" s="39"/>
      <c r="H532" s="39"/>
      <c r="I532" s="39"/>
      <c r="J532" s="39"/>
      <c r="K532" s="39"/>
      <c r="L532" s="100"/>
      <c r="N532" s="39"/>
      <c r="O532" s="39"/>
      <c r="P532" s="39"/>
      <c r="Q532" s="39"/>
      <c r="R532" s="39"/>
      <c r="S532" s="39"/>
      <c r="T532" s="39"/>
      <c r="U532" s="39"/>
      <c r="V532" s="39"/>
      <c r="W532" s="39"/>
      <c r="Y532" s="39"/>
      <c r="Z532" s="39"/>
      <c r="AA532" s="39"/>
      <c r="AB532" s="39"/>
      <c r="AC532" s="39"/>
      <c r="AD532" s="39"/>
      <c r="AE532" s="39"/>
      <c r="AF532" s="39"/>
      <c r="AG532" s="39"/>
      <c r="AH532" s="39"/>
      <c r="AI532" s="39"/>
      <c r="AJ532" s="423"/>
      <c r="AK532" s="39"/>
      <c r="AL532" s="423"/>
      <c r="AM532" s="39"/>
      <c r="AN532" s="39"/>
      <c r="AO532" s="39"/>
      <c r="AP532" s="39"/>
    </row>
    <row r="533" spans="2:42">
      <c r="B533" s="39"/>
      <c r="C533" s="39"/>
      <c r="D533" s="39"/>
      <c r="E533" s="39"/>
      <c r="F533" s="39"/>
      <c r="G533" s="39"/>
      <c r="H533" s="39"/>
      <c r="I533" s="39"/>
      <c r="J533" s="39"/>
      <c r="K533" s="39"/>
      <c r="L533" s="100"/>
      <c r="N533" s="39"/>
      <c r="O533" s="39"/>
      <c r="P533" s="39"/>
      <c r="Q533" s="39"/>
      <c r="R533" s="39"/>
      <c r="S533" s="39"/>
      <c r="T533" s="39"/>
      <c r="U533" s="39"/>
      <c r="V533" s="39"/>
      <c r="W533" s="39"/>
      <c r="Y533" s="39"/>
      <c r="Z533" s="39"/>
      <c r="AA533" s="39"/>
      <c r="AB533" s="39"/>
      <c r="AC533" s="39"/>
      <c r="AD533" s="39"/>
      <c r="AE533" s="39"/>
      <c r="AF533" s="39"/>
      <c r="AG533" s="39"/>
      <c r="AH533" s="39"/>
      <c r="AI533" s="39"/>
      <c r="AJ533" s="423"/>
      <c r="AK533" s="39"/>
      <c r="AL533" s="423"/>
      <c r="AM533" s="39"/>
      <c r="AN533" s="39"/>
      <c r="AO533" s="39"/>
      <c r="AP533" s="39"/>
    </row>
    <row r="534" spans="2:42">
      <c r="B534" s="39"/>
      <c r="C534" s="39"/>
      <c r="D534" s="39"/>
      <c r="E534" s="39"/>
      <c r="F534" s="39"/>
      <c r="G534" s="39"/>
      <c r="H534" s="39"/>
      <c r="I534" s="39"/>
      <c r="J534" s="39"/>
      <c r="K534" s="39"/>
      <c r="L534" s="100"/>
      <c r="N534" s="39"/>
      <c r="O534" s="39"/>
      <c r="P534" s="39"/>
      <c r="Q534" s="39"/>
      <c r="R534" s="39"/>
      <c r="S534" s="39"/>
      <c r="T534" s="39"/>
      <c r="U534" s="39"/>
      <c r="V534" s="39"/>
      <c r="W534" s="39"/>
      <c r="Y534" s="39"/>
      <c r="Z534" s="39"/>
      <c r="AA534" s="39"/>
      <c r="AB534" s="39"/>
      <c r="AC534" s="39"/>
      <c r="AD534" s="39"/>
      <c r="AE534" s="39"/>
      <c r="AF534" s="39"/>
      <c r="AG534" s="39"/>
      <c r="AH534" s="39"/>
      <c r="AI534" s="39"/>
      <c r="AJ534" s="423"/>
      <c r="AK534" s="39"/>
      <c r="AL534" s="423"/>
      <c r="AM534" s="39"/>
      <c r="AN534" s="39"/>
      <c r="AO534" s="39"/>
      <c r="AP534" s="39"/>
    </row>
    <row r="535" spans="2:42">
      <c r="B535" s="39"/>
      <c r="C535" s="39"/>
      <c r="D535" s="39"/>
      <c r="E535" s="39"/>
      <c r="F535" s="39"/>
      <c r="G535" s="39"/>
      <c r="H535" s="39"/>
      <c r="I535" s="39"/>
      <c r="J535" s="39"/>
      <c r="K535" s="39"/>
      <c r="L535" s="100"/>
      <c r="N535" s="39"/>
      <c r="O535" s="39"/>
      <c r="P535" s="39"/>
      <c r="Q535" s="39"/>
      <c r="R535" s="39"/>
      <c r="S535" s="39"/>
      <c r="T535" s="39"/>
      <c r="U535" s="39"/>
      <c r="V535" s="39"/>
      <c r="W535" s="39"/>
      <c r="Y535" s="39"/>
      <c r="Z535" s="39"/>
      <c r="AA535" s="39"/>
      <c r="AB535" s="39"/>
      <c r="AC535" s="39"/>
      <c r="AD535" s="39"/>
      <c r="AE535" s="39"/>
      <c r="AF535" s="39"/>
      <c r="AG535" s="39"/>
      <c r="AH535" s="39"/>
      <c r="AI535" s="39"/>
      <c r="AJ535" s="423"/>
      <c r="AK535" s="39"/>
      <c r="AL535" s="423"/>
      <c r="AM535" s="39"/>
      <c r="AN535" s="39"/>
      <c r="AO535" s="39"/>
      <c r="AP535" s="39"/>
    </row>
    <row r="536" spans="2:42">
      <c r="B536" s="39"/>
      <c r="C536" s="39"/>
      <c r="D536" s="39"/>
      <c r="E536" s="39"/>
      <c r="F536" s="39"/>
      <c r="G536" s="39"/>
      <c r="H536" s="39"/>
      <c r="I536" s="39"/>
      <c r="J536" s="39"/>
      <c r="K536" s="39"/>
      <c r="L536" s="100"/>
      <c r="N536" s="39"/>
      <c r="O536" s="39"/>
      <c r="P536" s="39"/>
      <c r="Q536" s="39"/>
      <c r="R536" s="39"/>
      <c r="S536" s="39"/>
      <c r="T536" s="39"/>
      <c r="U536" s="39"/>
      <c r="V536" s="39"/>
      <c r="W536" s="39"/>
      <c r="Y536" s="39"/>
      <c r="Z536" s="39"/>
      <c r="AA536" s="39"/>
      <c r="AB536" s="39"/>
      <c r="AC536" s="39"/>
      <c r="AD536" s="39"/>
      <c r="AE536" s="39"/>
      <c r="AF536" s="39"/>
      <c r="AG536" s="39"/>
      <c r="AH536" s="39"/>
      <c r="AI536" s="39"/>
      <c r="AJ536" s="423"/>
      <c r="AK536" s="39"/>
      <c r="AL536" s="423"/>
      <c r="AM536" s="39"/>
      <c r="AN536" s="39"/>
      <c r="AO536" s="39"/>
      <c r="AP536" s="39"/>
    </row>
    <row r="537" spans="2:42">
      <c r="B537" s="39"/>
      <c r="C537" s="39"/>
      <c r="D537" s="39"/>
      <c r="E537" s="39"/>
      <c r="F537" s="39"/>
      <c r="G537" s="39"/>
      <c r="H537" s="39"/>
      <c r="I537" s="39"/>
      <c r="J537" s="39"/>
      <c r="K537" s="39"/>
      <c r="L537" s="100"/>
      <c r="N537" s="39"/>
      <c r="O537" s="39"/>
      <c r="P537" s="39"/>
      <c r="Q537" s="39"/>
      <c r="R537" s="39"/>
      <c r="S537" s="39"/>
      <c r="T537" s="39"/>
      <c r="U537" s="39"/>
      <c r="V537" s="39"/>
      <c r="W537" s="39"/>
      <c r="Y537" s="39"/>
      <c r="Z537" s="39"/>
      <c r="AA537" s="39"/>
      <c r="AB537" s="39"/>
      <c r="AC537" s="39"/>
      <c r="AD537" s="39"/>
      <c r="AE537" s="39"/>
      <c r="AF537" s="39"/>
      <c r="AG537" s="39"/>
      <c r="AH537" s="39"/>
      <c r="AI537" s="39"/>
      <c r="AJ537" s="423"/>
      <c r="AK537" s="39"/>
      <c r="AL537" s="423"/>
      <c r="AM537" s="39"/>
      <c r="AN537" s="39"/>
      <c r="AO537" s="39"/>
      <c r="AP537" s="39"/>
    </row>
    <row r="538" spans="2:42">
      <c r="B538" s="39"/>
      <c r="C538" s="39"/>
      <c r="D538" s="39"/>
      <c r="E538" s="39"/>
      <c r="F538" s="39"/>
      <c r="G538" s="39"/>
      <c r="H538" s="39"/>
      <c r="I538" s="39"/>
      <c r="J538" s="39"/>
      <c r="K538" s="39"/>
      <c r="L538" s="100"/>
      <c r="N538" s="39"/>
      <c r="O538" s="39"/>
      <c r="P538" s="39"/>
      <c r="Q538" s="39"/>
      <c r="R538" s="39"/>
      <c r="S538" s="39"/>
      <c r="T538" s="39"/>
      <c r="U538" s="39"/>
      <c r="V538" s="39"/>
      <c r="W538" s="39"/>
      <c r="Y538" s="39"/>
      <c r="Z538" s="39"/>
      <c r="AA538" s="39"/>
      <c r="AB538" s="39"/>
      <c r="AC538" s="39"/>
      <c r="AD538" s="39"/>
      <c r="AE538" s="39"/>
      <c r="AF538" s="39"/>
      <c r="AG538" s="39"/>
      <c r="AH538" s="39"/>
      <c r="AI538" s="39"/>
      <c r="AJ538" s="423"/>
      <c r="AK538" s="39"/>
      <c r="AL538" s="423"/>
      <c r="AM538" s="39"/>
      <c r="AN538" s="39"/>
      <c r="AO538" s="39"/>
      <c r="AP538" s="39"/>
    </row>
    <row r="539" spans="2:42">
      <c r="B539" s="39"/>
      <c r="C539" s="39"/>
      <c r="D539" s="39"/>
      <c r="E539" s="39"/>
      <c r="F539" s="39"/>
      <c r="G539" s="39"/>
      <c r="H539" s="39"/>
      <c r="I539" s="39"/>
      <c r="J539" s="39"/>
      <c r="K539" s="39"/>
      <c r="L539" s="100"/>
      <c r="N539" s="39"/>
      <c r="O539" s="39"/>
      <c r="P539" s="39"/>
      <c r="Q539" s="39"/>
      <c r="R539" s="39"/>
      <c r="S539" s="39"/>
      <c r="T539" s="39"/>
      <c r="U539" s="39"/>
      <c r="V539" s="39"/>
      <c r="W539" s="39"/>
      <c r="Y539" s="39"/>
      <c r="Z539" s="39"/>
      <c r="AA539" s="39"/>
      <c r="AB539" s="39"/>
      <c r="AC539" s="39"/>
      <c r="AD539" s="39"/>
      <c r="AE539" s="39"/>
      <c r="AF539" s="39"/>
      <c r="AG539" s="39"/>
      <c r="AH539" s="39"/>
      <c r="AI539" s="39"/>
      <c r="AJ539" s="423"/>
      <c r="AK539" s="39"/>
      <c r="AL539" s="423"/>
      <c r="AM539" s="39"/>
      <c r="AN539" s="39"/>
      <c r="AO539" s="39"/>
      <c r="AP539" s="39"/>
    </row>
    <row r="540" spans="2:42">
      <c r="B540" s="39"/>
      <c r="C540" s="39"/>
      <c r="D540" s="39"/>
      <c r="E540" s="39"/>
      <c r="F540" s="39"/>
      <c r="G540" s="39"/>
      <c r="H540" s="39"/>
      <c r="I540" s="39"/>
      <c r="J540" s="39"/>
      <c r="K540" s="39"/>
      <c r="L540" s="100"/>
      <c r="N540" s="39"/>
      <c r="O540" s="39"/>
      <c r="P540" s="39"/>
      <c r="Q540" s="39"/>
      <c r="R540" s="39"/>
      <c r="S540" s="39"/>
      <c r="T540" s="39"/>
      <c r="U540" s="39"/>
      <c r="V540" s="39"/>
      <c r="W540" s="39"/>
      <c r="Y540" s="39"/>
      <c r="Z540" s="39"/>
      <c r="AA540" s="39"/>
      <c r="AB540" s="39"/>
      <c r="AC540" s="39"/>
      <c r="AD540" s="39"/>
      <c r="AE540" s="39"/>
      <c r="AF540" s="39"/>
      <c r="AG540" s="39"/>
      <c r="AH540" s="39"/>
      <c r="AI540" s="39"/>
      <c r="AJ540" s="423"/>
      <c r="AK540" s="39"/>
      <c r="AL540" s="423"/>
      <c r="AM540" s="39"/>
      <c r="AN540" s="39"/>
      <c r="AO540" s="39"/>
      <c r="AP540" s="39"/>
    </row>
    <row r="541" spans="2:42">
      <c r="B541" s="39"/>
      <c r="C541" s="39"/>
      <c r="D541" s="39"/>
      <c r="E541" s="39"/>
      <c r="F541" s="39"/>
      <c r="G541" s="39"/>
      <c r="H541" s="39"/>
      <c r="I541" s="39"/>
      <c r="J541" s="39"/>
      <c r="K541" s="39"/>
      <c r="L541" s="100"/>
      <c r="N541" s="39"/>
      <c r="O541" s="39"/>
      <c r="P541" s="39"/>
      <c r="Q541" s="39"/>
      <c r="R541" s="39"/>
      <c r="S541" s="39"/>
      <c r="T541" s="39"/>
      <c r="U541" s="39"/>
      <c r="V541" s="39"/>
      <c r="W541" s="39"/>
      <c r="Y541" s="39"/>
      <c r="Z541" s="39"/>
      <c r="AA541" s="39"/>
      <c r="AB541" s="39"/>
      <c r="AC541" s="39"/>
      <c r="AD541" s="39"/>
      <c r="AE541" s="39"/>
      <c r="AF541" s="39"/>
      <c r="AG541" s="39"/>
      <c r="AH541" s="39"/>
      <c r="AI541" s="39"/>
      <c r="AJ541" s="423"/>
      <c r="AK541" s="39"/>
      <c r="AL541" s="423"/>
      <c r="AM541" s="39"/>
      <c r="AN541" s="39"/>
      <c r="AO541" s="39"/>
      <c r="AP541" s="39"/>
    </row>
    <row r="542" spans="2:42">
      <c r="B542" s="39"/>
      <c r="C542" s="39"/>
      <c r="D542" s="39"/>
      <c r="E542" s="39"/>
      <c r="F542" s="39"/>
      <c r="G542" s="39"/>
      <c r="H542" s="39"/>
      <c r="I542" s="39"/>
      <c r="J542" s="39"/>
      <c r="K542" s="39"/>
      <c r="L542" s="100"/>
      <c r="N542" s="39"/>
      <c r="O542" s="39"/>
      <c r="P542" s="39"/>
      <c r="Q542" s="39"/>
      <c r="R542" s="39"/>
      <c r="S542" s="39"/>
      <c r="T542" s="39"/>
      <c r="U542" s="39"/>
      <c r="V542" s="39"/>
      <c r="W542" s="39"/>
      <c r="Y542" s="39"/>
      <c r="Z542" s="39"/>
      <c r="AA542" s="39"/>
      <c r="AB542" s="39"/>
      <c r="AC542" s="39"/>
      <c r="AD542" s="39"/>
      <c r="AE542" s="39"/>
      <c r="AF542" s="39"/>
      <c r="AG542" s="39"/>
      <c r="AH542" s="39"/>
      <c r="AI542" s="39"/>
      <c r="AJ542" s="423"/>
      <c r="AK542" s="39"/>
      <c r="AL542" s="423"/>
      <c r="AM542" s="39"/>
      <c r="AN542" s="39"/>
      <c r="AO542" s="39"/>
      <c r="AP542" s="39"/>
    </row>
    <row r="543" spans="2:42">
      <c r="B543" s="39"/>
      <c r="C543" s="39"/>
      <c r="D543" s="39"/>
      <c r="E543" s="39"/>
      <c r="F543" s="39"/>
      <c r="G543" s="39"/>
      <c r="H543" s="39"/>
      <c r="I543" s="39"/>
      <c r="J543" s="39"/>
      <c r="K543" s="39"/>
      <c r="L543" s="100"/>
      <c r="N543" s="39"/>
      <c r="O543" s="39"/>
      <c r="P543" s="39"/>
      <c r="Q543" s="39"/>
      <c r="R543" s="39"/>
      <c r="S543" s="39"/>
      <c r="T543" s="39"/>
      <c r="U543" s="39"/>
      <c r="V543" s="39"/>
      <c r="W543" s="39"/>
      <c r="Y543" s="39"/>
      <c r="Z543" s="39"/>
      <c r="AA543" s="39"/>
      <c r="AB543" s="39"/>
      <c r="AC543" s="39"/>
      <c r="AD543" s="39"/>
      <c r="AE543" s="39"/>
      <c r="AF543" s="39"/>
      <c r="AG543" s="39"/>
      <c r="AH543" s="39"/>
      <c r="AI543" s="39"/>
      <c r="AJ543" s="423"/>
      <c r="AK543" s="39"/>
      <c r="AL543" s="423"/>
      <c r="AM543" s="39"/>
      <c r="AN543" s="39"/>
      <c r="AO543" s="39"/>
      <c r="AP543" s="39"/>
    </row>
    <row r="544" spans="2:42">
      <c r="B544" s="39"/>
      <c r="C544" s="39"/>
      <c r="D544" s="39"/>
      <c r="E544" s="39"/>
      <c r="F544" s="39"/>
      <c r="G544" s="39"/>
      <c r="H544" s="39"/>
      <c r="I544" s="39"/>
      <c r="J544" s="39"/>
      <c r="K544" s="39"/>
      <c r="L544" s="100"/>
      <c r="N544" s="39"/>
      <c r="O544" s="39"/>
      <c r="P544" s="39"/>
      <c r="Q544" s="39"/>
      <c r="R544" s="39"/>
      <c r="S544" s="39"/>
      <c r="T544" s="39"/>
      <c r="U544" s="39"/>
      <c r="V544" s="39"/>
      <c r="W544" s="39"/>
      <c r="Y544" s="39"/>
      <c r="Z544" s="39"/>
      <c r="AA544" s="39"/>
      <c r="AB544" s="39"/>
      <c r="AC544" s="39"/>
      <c r="AD544" s="39"/>
      <c r="AE544" s="39"/>
      <c r="AF544" s="39"/>
      <c r="AG544" s="39"/>
      <c r="AH544" s="39"/>
      <c r="AI544" s="39"/>
      <c r="AJ544" s="423"/>
      <c r="AK544" s="39"/>
      <c r="AL544" s="423"/>
      <c r="AM544" s="39"/>
      <c r="AN544" s="39"/>
      <c r="AO544" s="39"/>
      <c r="AP544" s="39"/>
    </row>
    <row r="545" spans="2:42">
      <c r="B545" s="39"/>
      <c r="C545" s="39"/>
      <c r="D545" s="39"/>
      <c r="E545" s="39"/>
      <c r="F545" s="39"/>
      <c r="G545" s="39"/>
      <c r="H545" s="39"/>
      <c r="I545" s="39"/>
      <c r="J545" s="39"/>
      <c r="K545" s="39"/>
      <c r="L545" s="100"/>
      <c r="N545" s="39"/>
      <c r="O545" s="39"/>
      <c r="P545" s="39"/>
      <c r="Q545" s="39"/>
      <c r="R545" s="39"/>
      <c r="S545" s="39"/>
      <c r="T545" s="39"/>
      <c r="U545" s="39"/>
      <c r="V545" s="39"/>
      <c r="W545" s="39"/>
      <c r="Y545" s="39"/>
      <c r="Z545" s="39"/>
      <c r="AA545" s="39"/>
      <c r="AB545" s="39"/>
      <c r="AC545" s="39"/>
      <c r="AD545" s="39"/>
      <c r="AE545" s="39"/>
      <c r="AF545" s="39"/>
      <c r="AG545" s="39"/>
      <c r="AH545" s="39"/>
      <c r="AI545" s="39"/>
      <c r="AJ545" s="423"/>
      <c r="AK545" s="39"/>
      <c r="AL545" s="423"/>
      <c r="AM545" s="39"/>
      <c r="AN545" s="39"/>
      <c r="AO545" s="39"/>
      <c r="AP545" s="39"/>
    </row>
    <row r="546" spans="2:42">
      <c r="B546" s="39"/>
      <c r="C546" s="39"/>
      <c r="D546" s="39"/>
      <c r="E546" s="39"/>
      <c r="F546" s="39"/>
      <c r="G546" s="39"/>
      <c r="H546" s="39"/>
      <c r="I546" s="39"/>
      <c r="J546" s="39"/>
      <c r="K546" s="39"/>
      <c r="L546" s="100"/>
      <c r="N546" s="39"/>
      <c r="O546" s="39"/>
      <c r="P546" s="39"/>
      <c r="Q546" s="39"/>
      <c r="R546" s="39"/>
      <c r="S546" s="39"/>
      <c r="T546" s="39"/>
      <c r="U546" s="39"/>
      <c r="V546" s="39"/>
      <c r="W546" s="39"/>
      <c r="Y546" s="39"/>
      <c r="Z546" s="39"/>
      <c r="AA546" s="39"/>
      <c r="AB546" s="39"/>
      <c r="AC546" s="39"/>
      <c r="AD546" s="39"/>
      <c r="AE546" s="39"/>
      <c r="AF546" s="39"/>
      <c r="AG546" s="39"/>
      <c r="AH546" s="39"/>
      <c r="AI546" s="39"/>
      <c r="AJ546" s="423"/>
      <c r="AK546" s="39"/>
      <c r="AL546" s="423"/>
      <c r="AM546" s="39"/>
      <c r="AN546" s="39"/>
      <c r="AO546" s="39"/>
      <c r="AP546" s="39"/>
    </row>
    <row r="547" spans="2:42">
      <c r="B547" s="39"/>
      <c r="C547" s="39"/>
      <c r="D547" s="39"/>
      <c r="E547" s="39"/>
      <c r="F547" s="39"/>
      <c r="G547" s="39"/>
      <c r="H547" s="39"/>
      <c r="I547" s="39"/>
      <c r="J547" s="39"/>
      <c r="K547" s="39"/>
      <c r="L547" s="100"/>
      <c r="N547" s="39"/>
      <c r="O547" s="39"/>
      <c r="P547" s="39"/>
      <c r="Q547" s="39"/>
      <c r="R547" s="39"/>
      <c r="S547" s="39"/>
      <c r="T547" s="39"/>
      <c r="U547" s="39"/>
      <c r="V547" s="39"/>
      <c r="W547" s="39"/>
      <c r="Y547" s="39"/>
      <c r="Z547" s="39"/>
      <c r="AA547" s="39"/>
      <c r="AB547" s="39"/>
      <c r="AC547" s="39"/>
      <c r="AD547" s="39"/>
      <c r="AE547" s="39"/>
      <c r="AF547" s="39"/>
      <c r="AG547" s="39"/>
      <c r="AH547" s="39"/>
      <c r="AI547" s="39"/>
      <c r="AJ547" s="423"/>
      <c r="AK547" s="39"/>
      <c r="AL547" s="423"/>
      <c r="AM547" s="39"/>
      <c r="AN547" s="39"/>
      <c r="AO547" s="39"/>
      <c r="AP547" s="39"/>
    </row>
    <row r="548" spans="2:42">
      <c r="B548" s="39"/>
      <c r="C548" s="39"/>
      <c r="D548" s="39"/>
      <c r="E548" s="39"/>
      <c r="F548" s="39"/>
      <c r="G548" s="39"/>
      <c r="H548" s="39"/>
      <c r="I548" s="39"/>
      <c r="J548" s="39"/>
      <c r="K548" s="39"/>
      <c r="L548" s="100"/>
      <c r="N548" s="39"/>
      <c r="O548" s="39"/>
      <c r="P548" s="39"/>
      <c r="Q548" s="39"/>
      <c r="R548" s="39"/>
      <c r="S548" s="39"/>
      <c r="T548" s="39"/>
      <c r="U548" s="39"/>
      <c r="V548" s="39"/>
      <c r="W548" s="39"/>
      <c r="Y548" s="39"/>
      <c r="Z548" s="39"/>
      <c r="AA548" s="39"/>
      <c r="AB548" s="39"/>
      <c r="AC548" s="39"/>
      <c r="AD548" s="39"/>
      <c r="AE548" s="39"/>
      <c r="AF548" s="39"/>
      <c r="AG548" s="39"/>
      <c r="AH548" s="39"/>
      <c r="AI548" s="39"/>
      <c r="AJ548" s="423"/>
      <c r="AK548" s="39"/>
      <c r="AL548" s="423"/>
      <c r="AM548" s="39"/>
      <c r="AN548" s="39"/>
      <c r="AO548" s="39"/>
      <c r="AP548" s="39"/>
    </row>
    <row r="549" spans="2:42">
      <c r="B549" s="39"/>
      <c r="C549" s="39"/>
      <c r="D549" s="39"/>
      <c r="E549" s="39"/>
      <c r="F549" s="39"/>
      <c r="G549" s="39"/>
      <c r="H549" s="39"/>
      <c r="I549" s="39"/>
      <c r="J549" s="39"/>
      <c r="K549" s="39"/>
      <c r="L549" s="100"/>
      <c r="N549" s="39"/>
      <c r="O549" s="39"/>
      <c r="P549" s="39"/>
      <c r="Q549" s="39"/>
      <c r="R549" s="39"/>
      <c r="S549" s="39"/>
      <c r="T549" s="39"/>
      <c r="U549" s="39"/>
      <c r="V549" s="39"/>
      <c r="W549" s="39"/>
      <c r="Y549" s="39"/>
      <c r="Z549" s="39"/>
      <c r="AA549" s="39"/>
      <c r="AB549" s="39"/>
      <c r="AC549" s="39"/>
      <c r="AD549" s="39"/>
      <c r="AE549" s="39"/>
      <c r="AF549" s="39"/>
      <c r="AG549" s="39"/>
      <c r="AH549" s="39"/>
      <c r="AI549" s="39"/>
      <c r="AJ549" s="423"/>
      <c r="AK549" s="39"/>
      <c r="AL549" s="423"/>
      <c r="AM549" s="39"/>
      <c r="AN549" s="39"/>
      <c r="AO549" s="39"/>
      <c r="AP549" s="39"/>
    </row>
    <row r="550" spans="2:42">
      <c r="B550" s="39"/>
      <c r="C550" s="39"/>
      <c r="D550" s="39"/>
      <c r="E550" s="39"/>
      <c r="F550" s="39"/>
      <c r="G550" s="39"/>
      <c r="H550" s="39"/>
      <c r="I550" s="39"/>
      <c r="J550" s="39"/>
      <c r="K550" s="39"/>
      <c r="L550" s="100"/>
      <c r="N550" s="39"/>
      <c r="O550" s="39"/>
      <c r="P550" s="39"/>
      <c r="Q550" s="39"/>
      <c r="R550" s="39"/>
      <c r="S550" s="39"/>
      <c r="T550" s="39"/>
      <c r="U550" s="39"/>
      <c r="V550" s="39"/>
      <c r="W550" s="39"/>
      <c r="Y550" s="39"/>
      <c r="Z550" s="39"/>
      <c r="AA550" s="39"/>
      <c r="AB550" s="39"/>
      <c r="AC550" s="39"/>
      <c r="AD550" s="39"/>
      <c r="AE550" s="39"/>
      <c r="AF550" s="39"/>
      <c r="AG550" s="39"/>
      <c r="AH550" s="39"/>
      <c r="AI550" s="39"/>
      <c r="AJ550" s="423"/>
      <c r="AK550" s="39"/>
      <c r="AL550" s="423"/>
      <c r="AM550" s="39"/>
      <c r="AN550" s="39"/>
      <c r="AO550" s="39"/>
      <c r="AP550" s="39"/>
    </row>
    <row r="551" spans="2:42">
      <c r="B551" s="39"/>
      <c r="C551" s="39"/>
      <c r="D551" s="39"/>
      <c r="E551" s="39"/>
      <c r="F551" s="39"/>
      <c r="G551" s="39"/>
      <c r="H551" s="39"/>
      <c r="I551" s="39"/>
      <c r="J551" s="39"/>
      <c r="K551" s="39"/>
      <c r="L551" s="100"/>
      <c r="N551" s="39"/>
      <c r="O551" s="39"/>
      <c r="P551" s="39"/>
      <c r="Q551" s="39"/>
      <c r="R551" s="39"/>
      <c r="S551" s="39"/>
      <c r="T551" s="39"/>
      <c r="U551" s="39"/>
      <c r="V551" s="39"/>
      <c r="W551" s="39"/>
      <c r="Y551" s="39"/>
      <c r="Z551" s="39"/>
      <c r="AA551" s="39"/>
      <c r="AB551" s="39"/>
      <c r="AC551" s="39"/>
      <c r="AD551" s="39"/>
      <c r="AE551" s="39"/>
      <c r="AF551" s="39"/>
      <c r="AG551" s="39"/>
      <c r="AH551" s="39"/>
      <c r="AI551" s="39"/>
      <c r="AJ551" s="423"/>
      <c r="AK551" s="39"/>
      <c r="AL551" s="423"/>
      <c r="AM551" s="39"/>
      <c r="AN551" s="39"/>
      <c r="AO551" s="39"/>
      <c r="AP551" s="39"/>
    </row>
    <row r="552" spans="2:42">
      <c r="B552" s="39"/>
      <c r="C552" s="39"/>
      <c r="D552" s="39"/>
      <c r="E552" s="39"/>
      <c r="F552" s="39"/>
      <c r="G552" s="39"/>
      <c r="H552" s="39"/>
      <c r="I552" s="39"/>
      <c r="J552" s="39"/>
      <c r="K552" s="39"/>
      <c r="L552" s="100"/>
      <c r="N552" s="39"/>
      <c r="O552" s="39"/>
      <c r="P552" s="39"/>
      <c r="Q552" s="39"/>
      <c r="R552" s="39"/>
      <c r="S552" s="39"/>
      <c r="T552" s="39"/>
      <c r="U552" s="39"/>
      <c r="V552" s="39"/>
      <c r="W552" s="39"/>
      <c r="Y552" s="39"/>
      <c r="Z552" s="39"/>
      <c r="AA552" s="39"/>
      <c r="AB552" s="39"/>
      <c r="AC552" s="39"/>
      <c r="AD552" s="39"/>
      <c r="AE552" s="39"/>
      <c r="AF552" s="39"/>
      <c r="AG552" s="39"/>
      <c r="AH552" s="39"/>
      <c r="AI552" s="39"/>
      <c r="AJ552" s="423"/>
      <c r="AK552" s="39"/>
      <c r="AL552" s="423"/>
      <c r="AM552" s="39"/>
      <c r="AN552" s="39"/>
      <c r="AO552" s="39"/>
      <c r="AP552" s="39"/>
    </row>
    <row r="553" spans="2:42">
      <c r="B553" s="39"/>
      <c r="C553" s="39"/>
      <c r="D553" s="39"/>
      <c r="E553" s="39"/>
      <c r="F553" s="39"/>
      <c r="G553" s="39"/>
      <c r="H553" s="39"/>
      <c r="I553" s="39"/>
      <c r="J553" s="39"/>
      <c r="K553" s="39"/>
      <c r="L553" s="100"/>
      <c r="N553" s="39"/>
      <c r="O553" s="39"/>
      <c r="P553" s="39"/>
      <c r="Q553" s="39"/>
      <c r="R553" s="39"/>
      <c r="S553" s="39"/>
      <c r="T553" s="39"/>
      <c r="U553" s="39"/>
      <c r="V553" s="39"/>
      <c r="W553" s="39"/>
      <c r="Y553" s="39"/>
      <c r="Z553" s="39"/>
      <c r="AA553" s="39"/>
      <c r="AB553" s="39"/>
      <c r="AC553" s="39"/>
      <c r="AD553" s="39"/>
      <c r="AE553" s="39"/>
      <c r="AF553" s="39"/>
      <c r="AG553" s="39"/>
      <c r="AH553" s="39"/>
      <c r="AI553" s="39"/>
      <c r="AJ553" s="423"/>
      <c r="AK553" s="39"/>
      <c r="AL553" s="423"/>
      <c r="AM553" s="39"/>
      <c r="AN553" s="39"/>
      <c r="AO553" s="39"/>
      <c r="AP553" s="39"/>
    </row>
    <row r="554" spans="2:42">
      <c r="B554" s="39"/>
      <c r="C554" s="39"/>
      <c r="D554" s="39"/>
      <c r="E554" s="39"/>
      <c r="F554" s="39"/>
      <c r="G554" s="39"/>
      <c r="H554" s="39"/>
      <c r="I554" s="39"/>
      <c r="J554" s="39"/>
      <c r="K554" s="39"/>
      <c r="L554" s="100"/>
      <c r="N554" s="39"/>
      <c r="O554" s="39"/>
      <c r="P554" s="39"/>
      <c r="Q554" s="39"/>
      <c r="R554" s="39"/>
      <c r="S554" s="39"/>
      <c r="T554" s="39"/>
      <c r="U554" s="39"/>
      <c r="V554" s="39"/>
      <c r="W554" s="39"/>
      <c r="Y554" s="39"/>
      <c r="Z554" s="39"/>
      <c r="AA554" s="39"/>
      <c r="AB554" s="39"/>
      <c r="AC554" s="39"/>
      <c r="AD554" s="39"/>
      <c r="AE554" s="39"/>
      <c r="AF554" s="39"/>
      <c r="AG554" s="39"/>
      <c r="AH554" s="39"/>
      <c r="AI554" s="39"/>
      <c r="AJ554" s="423"/>
      <c r="AK554" s="39"/>
      <c r="AL554" s="423"/>
      <c r="AM554" s="39"/>
      <c r="AN554" s="39"/>
      <c r="AO554" s="39"/>
      <c r="AP554" s="39"/>
    </row>
    <row r="555" spans="2:42">
      <c r="B555" s="39"/>
      <c r="C555" s="39"/>
      <c r="D555" s="39"/>
      <c r="E555" s="39"/>
      <c r="F555" s="39"/>
      <c r="G555" s="39"/>
      <c r="H555" s="39"/>
      <c r="I555" s="39"/>
      <c r="J555" s="39"/>
      <c r="K555" s="39"/>
      <c r="L555" s="100"/>
      <c r="N555" s="39"/>
      <c r="O555" s="39"/>
      <c r="P555" s="39"/>
      <c r="Q555" s="39"/>
      <c r="R555" s="39"/>
      <c r="S555" s="39"/>
      <c r="T555" s="39"/>
      <c r="U555" s="39"/>
      <c r="V555" s="39"/>
      <c r="W555" s="39"/>
      <c r="Y555" s="39"/>
      <c r="Z555" s="39"/>
      <c r="AA555" s="39"/>
      <c r="AB555" s="39"/>
      <c r="AC555" s="39"/>
      <c r="AD555" s="39"/>
      <c r="AE555" s="39"/>
      <c r="AF555" s="39"/>
      <c r="AG555" s="39"/>
      <c r="AH555" s="39"/>
      <c r="AI555" s="39"/>
      <c r="AJ555" s="423"/>
      <c r="AK555" s="39"/>
      <c r="AL555" s="423"/>
      <c r="AM555" s="39"/>
      <c r="AN555" s="39"/>
      <c r="AO555" s="39"/>
      <c r="AP555" s="39"/>
    </row>
    <row r="556" spans="2:42">
      <c r="B556" s="39"/>
      <c r="C556" s="39"/>
      <c r="D556" s="39"/>
      <c r="E556" s="39"/>
      <c r="F556" s="39"/>
      <c r="G556" s="39"/>
      <c r="H556" s="39"/>
      <c r="I556" s="39"/>
      <c r="J556" s="39"/>
      <c r="K556" s="39"/>
      <c r="L556" s="100"/>
      <c r="N556" s="39"/>
      <c r="O556" s="39"/>
      <c r="P556" s="39"/>
      <c r="Q556" s="39"/>
      <c r="R556" s="39"/>
      <c r="S556" s="39"/>
      <c r="T556" s="39"/>
      <c r="U556" s="39"/>
      <c r="V556" s="39"/>
      <c r="W556" s="39"/>
      <c r="Y556" s="39"/>
      <c r="Z556" s="39"/>
      <c r="AA556" s="39"/>
      <c r="AB556" s="39"/>
      <c r="AC556" s="39"/>
      <c r="AD556" s="39"/>
      <c r="AE556" s="39"/>
      <c r="AF556" s="39"/>
      <c r="AG556" s="39"/>
      <c r="AH556" s="39"/>
      <c r="AI556" s="39"/>
      <c r="AJ556" s="423"/>
      <c r="AK556" s="39"/>
      <c r="AL556" s="423"/>
      <c r="AM556" s="39"/>
      <c r="AN556" s="39"/>
      <c r="AO556" s="39"/>
      <c r="AP556" s="39"/>
    </row>
    <row r="557" spans="2:42">
      <c r="B557" s="39"/>
      <c r="C557" s="39"/>
      <c r="D557" s="39"/>
      <c r="E557" s="39"/>
      <c r="F557" s="39"/>
      <c r="G557" s="39"/>
      <c r="H557" s="39"/>
      <c r="I557" s="39"/>
      <c r="J557" s="39"/>
      <c r="K557" s="39"/>
      <c r="L557" s="100"/>
      <c r="N557" s="39"/>
      <c r="O557" s="39"/>
      <c r="P557" s="39"/>
      <c r="Q557" s="39"/>
      <c r="R557" s="39"/>
      <c r="S557" s="39"/>
      <c r="T557" s="39"/>
      <c r="U557" s="39"/>
      <c r="V557" s="39"/>
      <c r="W557" s="39"/>
      <c r="Y557" s="39"/>
      <c r="Z557" s="39"/>
      <c r="AA557" s="39"/>
      <c r="AB557" s="39"/>
      <c r="AC557" s="39"/>
      <c r="AD557" s="39"/>
      <c r="AE557" s="39"/>
      <c r="AF557" s="39"/>
      <c r="AG557" s="39"/>
      <c r="AH557" s="39"/>
      <c r="AI557" s="39"/>
      <c r="AJ557" s="423"/>
      <c r="AK557" s="39"/>
      <c r="AL557" s="423"/>
      <c r="AM557" s="39"/>
      <c r="AN557" s="39"/>
      <c r="AO557" s="39"/>
      <c r="AP557" s="39"/>
    </row>
    <row r="558" spans="2:42">
      <c r="B558" s="39"/>
      <c r="C558" s="39"/>
      <c r="D558" s="39"/>
      <c r="E558" s="39"/>
      <c r="F558" s="39"/>
      <c r="G558" s="39"/>
      <c r="H558" s="39"/>
      <c r="I558" s="39"/>
      <c r="J558" s="39"/>
      <c r="K558" s="39"/>
      <c r="L558" s="100"/>
      <c r="N558" s="39"/>
      <c r="O558" s="39"/>
      <c r="P558" s="39"/>
      <c r="Q558" s="39"/>
      <c r="R558" s="39"/>
      <c r="S558" s="39"/>
      <c r="T558" s="39"/>
      <c r="U558" s="39"/>
      <c r="V558" s="39"/>
      <c r="W558" s="39"/>
      <c r="Y558" s="39"/>
      <c r="Z558" s="39"/>
      <c r="AA558" s="39"/>
      <c r="AB558" s="39"/>
      <c r="AC558" s="39"/>
      <c r="AD558" s="39"/>
      <c r="AE558" s="39"/>
      <c r="AF558" s="39"/>
      <c r="AG558" s="39"/>
      <c r="AH558" s="39"/>
      <c r="AI558" s="39"/>
      <c r="AJ558" s="423"/>
      <c r="AK558" s="39"/>
      <c r="AL558" s="423"/>
      <c r="AM558" s="39"/>
      <c r="AN558" s="39"/>
      <c r="AO558" s="39"/>
      <c r="AP558" s="39"/>
    </row>
    <row r="559" spans="2:42">
      <c r="B559" s="39"/>
      <c r="C559" s="39"/>
      <c r="D559" s="39"/>
      <c r="E559" s="39"/>
      <c r="F559" s="39"/>
      <c r="G559" s="39"/>
      <c r="H559" s="39"/>
      <c r="I559" s="39"/>
      <c r="J559" s="39"/>
      <c r="K559" s="39"/>
      <c r="L559" s="100"/>
      <c r="N559" s="39"/>
      <c r="O559" s="39"/>
      <c r="P559" s="39"/>
      <c r="Q559" s="39"/>
      <c r="R559" s="39"/>
      <c r="S559" s="39"/>
      <c r="T559" s="39"/>
      <c r="U559" s="39"/>
      <c r="V559" s="39"/>
      <c r="W559" s="39"/>
      <c r="Y559" s="39"/>
      <c r="Z559" s="39"/>
      <c r="AA559" s="39"/>
      <c r="AB559" s="39"/>
      <c r="AC559" s="39"/>
      <c r="AD559" s="39"/>
      <c r="AE559" s="39"/>
      <c r="AF559" s="39"/>
      <c r="AG559" s="39"/>
      <c r="AH559" s="39"/>
      <c r="AI559" s="39"/>
      <c r="AJ559" s="423"/>
      <c r="AK559" s="39"/>
      <c r="AL559" s="423"/>
      <c r="AM559" s="39"/>
      <c r="AN559" s="39"/>
      <c r="AO559" s="39"/>
      <c r="AP559" s="39"/>
    </row>
    <row r="560" spans="2:42">
      <c r="B560" s="39"/>
      <c r="C560" s="39"/>
      <c r="D560" s="39"/>
      <c r="E560" s="39"/>
      <c r="F560" s="39"/>
      <c r="G560" s="39"/>
      <c r="H560" s="39"/>
      <c r="I560" s="39"/>
      <c r="J560" s="39"/>
      <c r="K560" s="39"/>
      <c r="L560" s="100"/>
      <c r="N560" s="39"/>
      <c r="O560" s="39"/>
      <c r="P560" s="39"/>
      <c r="Q560" s="39"/>
      <c r="R560" s="39"/>
      <c r="S560" s="39"/>
      <c r="T560" s="39"/>
      <c r="U560" s="39"/>
      <c r="V560" s="39"/>
      <c r="W560" s="39"/>
      <c r="Y560" s="39"/>
      <c r="Z560" s="39"/>
      <c r="AA560" s="39"/>
      <c r="AB560" s="39"/>
      <c r="AC560" s="39"/>
      <c r="AD560" s="39"/>
      <c r="AE560" s="39"/>
      <c r="AF560" s="39"/>
      <c r="AG560" s="39"/>
      <c r="AH560" s="39"/>
      <c r="AI560" s="39"/>
      <c r="AJ560" s="423"/>
      <c r="AK560" s="39"/>
      <c r="AL560" s="423"/>
      <c r="AM560" s="39"/>
      <c r="AN560" s="39"/>
      <c r="AO560" s="39"/>
      <c r="AP560" s="39"/>
    </row>
    <row r="561" spans="2:42">
      <c r="B561" s="39"/>
      <c r="C561" s="39"/>
      <c r="D561" s="39"/>
      <c r="E561" s="39"/>
      <c r="F561" s="39"/>
      <c r="G561" s="39"/>
      <c r="H561" s="39"/>
      <c r="I561" s="39"/>
      <c r="J561" s="39"/>
      <c r="K561" s="39"/>
      <c r="L561" s="100"/>
      <c r="N561" s="39"/>
      <c r="O561" s="39"/>
      <c r="P561" s="39"/>
      <c r="Q561" s="39"/>
      <c r="R561" s="39"/>
      <c r="S561" s="39"/>
      <c r="T561" s="39"/>
      <c r="U561" s="39"/>
      <c r="V561" s="39"/>
      <c r="W561" s="39"/>
      <c r="Y561" s="39"/>
      <c r="Z561" s="39"/>
      <c r="AA561" s="39"/>
      <c r="AB561" s="39"/>
      <c r="AC561" s="39"/>
      <c r="AD561" s="39"/>
      <c r="AE561" s="39"/>
      <c r="AF561" s="39"/>
      <c r="AG561" s="39"/>
      <c r="AH561" s="39"/>
      <c r="AI561" s="39"/>
      <c r="AJ561" s="423"/>
      <c r="AK561" s="39"/>
      <c r="AL561" s="423"/>
      <c r="AM561" s="39"/>
      <c r="AN561" s="39"/>
      <c r="AO561" s="39"/>
      <c r="AP561" s="39"/>
    </row>
    <row r="562" spans="2:42">
      <c r="B562" s="39"/>
      <c r="C562" s="39"/>
      <c r="D562" s="39"/>
      <c r="E562" s="39"/>
      <c r="F562" s="39"/>
      <c r="G562" s="39"/>
      <c r="H562" s="39"/>
      <c r="I562" s="39"/>
      <c r="J562" s="39"/>
      <c r="K562" s="39"/>
      <c r="L562" s="100"/>
      <c r="N562" s="39"/>
      <c r="O562" s="39"/>
      <c r="P562" s="39"/>
      <c r="Q562" s="39"/>
      <c r="R562" s="39"/>
      <c r="S562" s="39"/>
      <c r="T562" s="39"/>
      <c r="U562" s="39"/>
      <c r="V562" s="39"/>
      <c r="W562" s="39"/>
      <c r="Y562" s="39"/>
      <c r="Z562" s="39"/>
      <c r="AA562" s="39"/>
      <c r="AB562" s="39"/>
      <c r="AC562" s="39"/>
      <c r="AD562" s="39"/>
      <c r="AE562" s="39"/>
      <c r="AF562" s="39"/>
      <c r="AG562" s="39"/>
      <c r="AH562" s="39"/>
      <c r="AI562" s="39"/>
      <c r="AJ562" s="423"/>
      <c r="AK562" s="39"/>
      <c r="AL562" s="423"/>
      <c r="AM562" s="39"/>
      <c r="AN562" s="39"/>
      <c r="AO562" s="39"/>
      <c r="AP562" s="39"/>
    </row>
    <row r="563" spans="2:42">
      <c r="B563" s="39"/>
      <c r="C563" s="39"/>
      <c r="D563" s="39"/>
      <c r="E563" s="39"/>
      <c r="F563" s="39"/>
      <c r="G563" s="39"/>
      <c r="H563" s="39"/>
      <c r="I563" s="39"/>
      <c r="J563" s="39"/>
      <c r="K563" s="39"/>
      <c r="L563" s="100"/>
      <c r="N563" s="39"/>
      <c r="O563" s="39"/>
      <c r="P563" s="39"/>
      <c r="Q563" s="39"/>
      <c r="R563" s="39"/>
      <c r="S563" s="39"/>
      <c r="T563" s="39"/>
      <c r="U563" s="39"/>
      <c r="V563" s="39"/>
      <c r="W563" s="39"/>
      <c r="Y563" s="39"/>
      <c r="Z563" s="39"/>
      <c r="AA563" s="39"/>
      <c r="AB563" s="39"/>
      <c r="AC563" s="39"/>
      <c r="AD563" s="39"/>
      <c r="AE563" s="39"/>
      <c r="AF563" s="39"/>
      <c r="AG563" s="39"/>
      <c r="AH563" s="39"/>
      <c r="AI563" s="39"/>
      <c r="AJ563" s="423"/>
      <c r="AK563" s="39"/>
      <c r="AL563" s="423"/>
      <c r="AM563" s="39"/>
      <c r="AN563" s="39"/>
      <c r="AO563" s="39"/>
      <c r="AP563" s="39"/>
    </row>
    <row r="564" spans="2:42">
      <c r="B564" s="39"/>
      <c r="C564" s="39"/>
      <c r="D564" s="39"/>
      <c r="E564" s="39"/>
      <c r="F564" s="39"/>
      <c r="G564" s="39"/>
      <c r="H564" s="39"/>
      <c r="I564" s="39"/>
      <c r="J564" s="39"/>
      <c r="K564" s="39"/>
      <c r="L564" s="100"/>
      <c r="N564" s="39"/>
      <c r="O564" s="39"/>
      <c r="P564" s="39"/>
      <c r="Q564" s="39"/>
      <c r="R564" s="39"/>
      <c r="S564" s="39"/>
      <c r="T564" s="39"/>
      <c r="U564" s="39"/>
      <c r="V564" s="39"/>
      <c r="W564" s="39"/>
      <c r="Y564" s="39"/>
      <c r="Z564" s="39"/>
      <c r="AA564" s="39"/>
      <c r="AB564" s="39"/>
      <c r="AC564" s="39"/>
      <c r="AD564" s="39"/>
      <c r="AE564" s="39"/>
      <c r="AF564" s="39"/>
      <c r="AG564" s="39"/>
      <c r="AH564" s="39"/>
      <c r="AI564" s="39"/>
      <c r="AJ564" s="423"/>
      <c r="AK564" s="39"/>
      <c r="AL564" s="423"/>
      <c r="AM564" s="39"/>
      <c r="AN564" s="39"/>
      <c r="AO564" s="39"/>
      <c r="AP564" s="39"/>
    </row>
    <row r="565" spans="2:42">
      <c r="B565" s="39"/>
      <c r="C565" s="39"/>
      <c r="D565" s="39"/>
      <c r="E565" s="39"/>
      <c r="F565" s="39"/>
      <c r="G565" s="39"/>
      <c r="H565" s="39"/>
      <c r="I565" s="39"/>
      <c r="J565" s="39"/>
      <c r="K565" s="39"/>
      <c r="L565" s="100"/>
      <c r="N565" s="39"/>
      <c r="O565" s="39"/>
      <c r="P565" s="39"/>
      <c r="Q565" s="39"/>
      <c r="R565" s="39"/>
      <c r="S565" s="39"/>
      <c r="T565" s="39"/>
      <c r="U565" s="39"/>
      <c r="V565" s="39"/>
      <c r="W565" s="39"/>
      <c r="Y565" s="39"/>
      <c r="Z565" s="39"/>
      <c r="AA565" s="39"/>
      <c r="AB565" s="39"/>
      <c r="AC565" s="39"/>
      <c r="AD565" s="39"/>
      <c r="AE565" s="39"/>
      <c r="AF565" s="39"/>
      <c r="AG565" s="39"/>
      <c r="AH565" s="39"/>
      <c r="AI565" s="39"/>
      <c r="AJ565" s="423"/>
      <c r="AK565" s="39"/>
      <c r="AL565" s="423"/>
      <c r="AM565" s="39"/>
      <c r="AN565" s="39"/>
      <c r="AO565" s="39"/>
      <c r="AP565" s="39"/>
    </row>
    <row r="566" spans="2:42">
      <c r="B566" s="39"/>
      <c r="C566" s="39"/>
      <c r="D566" s="39"/>
      <c r="E566" s="39"/>
      <c r="F566" s="39"/>
      <c r="G566" s="39"/>
      <c r="H566" s="39"/>
      <c r="I566" s="39"/>
      <c r="J566" s="39"/>
      <c r="K566" s="39"/>
      <c r="L566" s="100"/>
      <c r="N566" s="39"/>
      <c r="O566" s="39"/>
      <c r="P566" s="39"/>
      <c r="Q566" s="39"/>
      <c r="R566" s="39"/>
      <c r="S566" s="39"/>
      <c r="T566" s="39"/>
      <c r="U566" s="39"/>
      <c r="V566" s="39"/>
      <c r="W566" s="39"/>
      <c r="Y566" s="39"/>
      <c r="Z566" s="39"/>
      <c r="AA566" s="39"/>
      <c r="AB566" s="39"/>
      <c r="AC566" s="39"/>
      <c r="AD566" s="39"/>
      <c r="AE566" s="39"/>
      <c r="AF566" s="39"/>
      <c r="AG566" s="39"/>
      <c r="AH566" s="39"/>
      <c r="AI566" s="39"/>
      <c r="AJ566" s="423"/>
      <c r="AK566" s="39"/>
      <c r="AL566" s="423"/>
      <c r="AM566" s="39"/>
      <c r="AN566" s="39"/>
      <c r="AO566" s="39"/>
      <c r="AP566" s="39"/>
    </row>
    <row r="567" spans="2:42">
      <c r="B567" s="39"/>
      <c r="C567" s="39"/>
      <c r="D567" s="39"/>
      <c r="E567" s="39"/>
      <c r="F567" s="39"/>
      <c r="G567" s="39"/>
      <c r="H567" s="39"/>
      <c r="I567" s="39"/>
      <c r="J567" s="39"/>
      <c r="K567" s="39"/>
      <c r="L567" s="100"/>
      <c r="N567" s="39"/>
      <c r="O567" s="39"/>
      <c r="P567" s="39"/>
      <c r="Q567" s="39"/>
      <c r="R567" s="39"/>
      <c r="S567" s="39"/>
      <c r="T567" s="39"/>
      <c r="U567" s="39"/>
      <c r="V567" s="39"/>
      <c r="W567" s="39"/>
      <c r="Y567" s="39"/>
      <c r="Z567" s="39"/>
      <c r="AA567" s="39"/>
      <c r="AB567" s="39"/>
      <c r="AC567" s="39"/>
      <c r="AD567" s="39"/>
      <c r="AE567" s="39"/>
      <c r="AF567" s="39"/>
      <c r="AG567" s="39"/>
      <c r="AH567" s="39"/>
      <c r="AI567" s="39"/>
      <c r="AJ567" s="423"/>
      <c r="AK567" s="39"/>
      <c r="AL567" s="423"/>
      <c r="AM567" s="39"/>
      <c r="AN567" s="39"/>
      <c r="AO567" s="39"/>
      <c r="AP567" s="39"/>
    </row>
    <row r="568" spans="2:42">
      <c r="B568" s="39"/>
      <c r="C568" s="39"/>
      <c r="D568" s="39"/>
      <c r="E568" s="39"/>
      <c r="F568" s="39"/>
      <c r="G568" s="39"/>
      <c r="H568" s="39"/>
      <c r="I568" s="39"/>
      <c r="J568" s="39"/>
      <c r="K568" s="39"/>
      <c r="L568" s="100"/>
      <c r="N568" s="39"/>
      <c r="O568" s="39"/>
      <c r="P568" s="39"/>
      <c r="Q568" s="39"/>
      <c r="R568" s="39"/>
      <c r="S568" s="39"/>
      <c r="T568" s="39"/>
      <c r="U568" s="39"/>
      <c r="V568" s="39"/>
      <c r="W568" s="39"/>
      <c r="Y568" s="39"/>
      <c r="Z568" s="39"/>
      <c r="AA568" s="39"/>
      <c r="AB568" s="39"/>
      <c r="AC568" s="39"/>
      <c r="AD568" s="39"/>
      <c r="AE568" s="39"/>
      <c r="AF568" s="39"/>
      <c r="AG568" s="39"/>
      <c r="AH568" s="39"/>
      <c r="AI568" s="39"/>
      <c r="AJ568" s="423"/>
      <c r="AK568" s="39"/>
      <c r="AL568" s="423"/>
      <c r="AM568" s="39"/>
      <c r="AN568" s="39"/>
      <c r="AO568" s="39"/>
      <c r="AP568" s="39"/>
    </row>
    <row r="569" spans="2:42">
      <c r="B569" s="39"/>
      <c r="C569" s="39"/>
      <c r="D569" s="39"/>
      <c r="E569" s="39"/>
      <c r="F569" s="39"/>
      <c r="G569" s="39"/>
      <c r="H569" s="39"/>
      <c r="I569" s="39"/>
      <c r="J569" s="39"/>
      <c r="K569" s="39"/>
      <c r="L569" s="100"/>
      <c r="N569" s="39"/>
      <c r="O569" s="39"/>
      <c r="P569" s="39"/>
      <c r="Q569" s="39"/>
      <c r="R569" s="39"/>
      <c r="S569" s="39"/>
      <c r="T569" s="39"/>
      <c r="U569" s="39"/>
      <c r="V569" s="39"/>
      <c r="W569" s="39"/>
      <c r="Y569" s="39"/>
      <c r="Z569" s="39"/>
      <c r="AA569" s="39"/>
      <c r="AB569" s="39"/>
      <c r="AC569" s="39"/>
      <c r="AD569" s="39"/>
      <c r="AE569" s="39"/>
      <c r="AF569" s="39"/>
      <c r="AG569" s="39"/>
      <c r="AH569" s="39"/>
      <c r="AI569" s="39"/>
      <c r="AJ569" s="423"/>
      <c r="AK569" s="39"/>
      <c r="AL569" s="423"/>
      <c r="AM569" s="39"/>
      <c r="AN569" s="39"/>
      <c r="AO569" s="39"/>
      <c r="AP569" s="39"/>
    </row>
    <row r="570" spans="2:42">
      <c r="B570" s="39"/>
      <c r="C570" s="39"/>
      <c r="D570" s="39"/>
      <c r="E570" s="39"/>
      <c r="F570" s="39"/>
      <c r="G570" s="39"/>
      <c r="H570" s="39"/>
      <c r="I570" s="39"/>
      <c r="J570" s="39"/>
      <c r="K570" s="39"/>
      <c r="L570" s="100"/>
      <c r="N570" s="39"/>
      <c r="O570" s="39"/>
      <c r="P570" s="39"/>
      <c r="Q570" s="39"/>
      <c r="R570" s="39"/>
      <c r="S570" s="39"/>
      <c r="T570" s="39"/>
      <c r="U570" s="39"/>
      <c r="V570" s="39"/>
      <c r="W570" s="39"/>
      <c r="Y570" s="39"/>
      <c r="Z570" s="39"/>
      <c r="AA570" s="39"/>
      <c r="AB570" s="39"/>
      <c r="AC570" s="39"/>
      <c r="AD570" s="39"/>
      <c r="AE570" s="39"/>
      <c r="AF570" s="39"/>
      <c r="AG570" s="39"/>
      <c r="AH570" s="39"/>
      <c r="AI570" s="39"/>
      <c r="AJ570" s="423"/>
      <c r="AK570" s="39"/>
      <c r="AL570" s="423"/>
      <c r="AM570" s="39"/>
      <c r="AN570" s="39"/>
      <c r="AO570" s="39"/>
      <c r="AP570" s="39"/>
    </row>
    <row r="571" spans="2:42">
      <c r="B571" s="39"/>
      <c r="C571" s="39"/>
      <c r="D571" s="39"/>
      <c r="E571" s="39"/>
      <c r="F571" s="39"/>
      <c r="G571" s="39"/>
      <c r="H571" s="39"/>
      <c r="I571" s="39"/>
      <c r="J571" s="39"/>
      <c r="K571" s="39"/>
      <c r="L571" s="100"/>
      <c r="N571" s="39"/>
      <c r="O571" s="39"/>
      <c r="P571" s="39"/>
      <c r="Q571" s="39"/>
      <c r="R571" s="39"/>
      <c r="S571" s="39"/>
      <c r="T571" s="39"/>
      <c r="U571" s="39"/>
      <c r="V571" s="39"/>
      <c r="W571" s="39"/>
      <c r="Y571" s="39"/>
      <c r="Z571" s="39"/>
      <c r="AA571" s="39"/>
      <c r="AB571" s="39"/>
      <c r="AC571" s="39"/>
      <c r="AD571" s="39"/>
      <c r="AE571" s="39"/>
      <c r="AF571" s="39"/>
      <c r="AG571" s="39"/>
      <c r="AH571" s="39"/>
      <c r="AI571" s="39"/>
      <c r="AJ571" s="423"/>
      <c r="AK571" s="39"/>
      <c r="AL571" s="423"/>
      <c r="AM571" s="39"/>
      <c r="AN571" s="39"/>
      <c r="AO571" s="39"/>
      <c r="AP571" s="39"/>
    </row>
    <row r="572" spans="2:42">
      <c r="B572" s="39"/>
      <c r="C572" s="39"/>
      <c r="D572" s="39"/>
      <c r="E572" s="39"/>
      <c r="F572" s="39"/>
      <c r="G572" s="39"/>
      <c r="H572" s="39"/>
      <c r="I572" s="39"/>
      <c r="J572" s="39"/>
      <c r="K572" s="39"/>
      <c r="L572" s="100"/>
      <c r="N572" s="39"/>
      <c r="O572" s="39"/>
      <c r="P572" s="39"/>
      <c r="Q572" s="39"/>
      <c r="R572" s="39"/>
      <c r="S572" s="39"/>
      <c r="T572" s="39"/>
      <c r="U572" s="39"/>
      <c r="V572" s="39"/>
      <c r="W572" s="39"/>
      <c r="Y572" s="39"/>
      <c r="Z572" s="39"/>
      <c r="AA572" s="39"/>
      <c r="AB572" s="39"/>
      <c r="AC572" s="39"/>
      <c r="AD572" s="39"/>
      <c r="AE572" s="39"/>
      <c r="AF572" s="39"/>
      <c r="AG572" s="39"/>
      <c r="AH572" s="39"/>
      <c r="AI572" s="39"/>
      <c r="AJ572" s="423"/>
      <c r="AK572" s="39"/>
      <c r="AL572" s="423"/>
      <c r="AM572" s="39"/>
      <c r="AN572" s="39"/>
      <c r="AO572" s="39"/>
      <c r="AP572" s="39"/>
    </row>
    <row r="573" spans="2:42">
      <c r="B573" s="39"/>
      <c r="C573" s="39"/>
      <c r="D573" s="39"/>
      <c r="E573" s="39"/>
      <c r="F573" s="39"/>
      <c r="G573" s="39"/>
      <c r="H573" s="39"/>
      <c r="I573" s="39"/>
      <c r="J573" s="39"/>
      <c r="K573" s="39"/>
      <c r="L573" s="100"/>
      <c r="N573" s="39"/>
      <c r="O573" s="39"/>
      <c r="P573" s="39"/>
      <c r="Q573" s="39"/>
      <c r="R573" s="39"/>
      <c r="S573" s="39"/>
      <c r="T573" s="39"/>
      <c r="U573" s="39"/>
      <c r="V573" s="39"/>
      <c r="W573" s="39"/>
      <c r="Y573" s="39"/>
      <c r="Z573" s="39"/>
      <c r="AA573" s="39"/>
      <c r="AB573" s="39"/>
      <c r="AC573" s="39"/>
      <c r="AD573" s="39"/>
      <c r="AE573" s="39"/>
      <c r="AF573" s="39"/>
      <c r="AG573" s="39"/>
      <c r="AH573" s="39"/>
      <c r="AI573" s="39"/>
      <c r="AJ573" s="423"/>
      <c r="AK573" s="39"/>
      <c r="AL573" s="423"/>
      <c r="AM573" s="39"/>
      <c r="AN573" s="39"/>
      <c r="AO573" s="39"/>
      <c r="AP573" s="39"/>
    </row>
    <row r="574" spans="2:42">
      <c r="B574" s="39"/>
      <c r="C574" s="39"/>
      <c r="D574" s="39"/>
      <c r="E574" s="39"/>
      <c r="F574" s="39"/>
      <c r="G574" s="39"/>
      <c r="H574" s="39"/>
      <c r="I574" s="39"/>
      <c r="J574" s="39"/>
      <c r="K574" s="39"/>
      <c r="L574" s="100"/>
      <c r="N574" s="39"/>
      <c r="O574" s="39"/>
      <c r="P574" s="39"/>
      <c r="Q574" s="39"/>
      <c r="R574" s="39"/>
      <c r="S574" s="39"/>
      <c r="T574" s="39"/>
      <c r="U574" s="39"/>
      <c r="V574" s="39"/>
      <c r="W574" s="39"/>
      <c r="Y574" s="39"/>
      <c r="Z574" s="39"/>
      <c r="AA574" s="39"/>
      <c r="AB574" s="39"/>
      <c r="AC574" s="39"/>
      <c r="AD574" s="39"/>
      <c r="AE574" s="39"/>
      <c r="AF574" s="39"/>
      <c r="AG574" s="39"/>
      <c r="AH574" s="39"/>
      <c r="AI574" s="39"/>
      <c r="AJ574" s="423"/>
      <c r="AK574" s="39"/>
      <c r="AL574" s="423"/>
      <c r="AM574" s="39"/>
      <c r="AN574" s="39"/>
      <c r="AO574" s="39"/>
      <c r="AP574" s="39"/>
    </row>
    <row r="575" spans="2:42">
      <c r="B575" s="39"/>
      <c r="C575" s="39"/>
      <c r="D575" s="39"/>
      <c r="E575" s="39"/>
      <c r="F575" s="39"/>
      <c r="G575" s="39"/>
      <c r="H575" s="39"/>
      <c r="I575" s="39"/>
      <c r="J575" s="39"/>
      <c r="K575" s="39"/>
      <c r="L575" s="100"/>
      <c r="N575" s="39"/>
      <c r="O575" s="39"/>
      <c r="P575" s="39"/>
      <c r="Q575" s="39"/>
      <c r="R575" s="39"/>
      <c r="S575" s="39"/>
      <c r="T575" s="39"/>
      <c r="U575" s="39"/>
      <c r="V575" s="39"/>
      <c r="W575" s="39"/>
      <c r="Y575" s="39"/>
      <c r="Z575" s="39"/>
      <c r="AA575" s="39"/>
      <c r="AB575" s="39"/>
      <c r="AC575" s="39"/>
      <c r="AD575" s="39"/>
      <c r="AE575" s="39"/>
      <c r="AF575" s="39"/>
      <c r="AG575" s="39"/>
      <c r="AH575" s="39"/>
      <c r="AI575" s="39"/>
      <c r="AJ575" s="423"/>
      <c r="AK575" s="39"/>
      <c r="AL575" s="423"/>
      <c r="AM575" s="39"/>
      <c r="AN575" s="39"/>
      <c r="AO575" s="39"/>
      <c r="AP575" s="39"/>
    </row>
    <row r="576" spans="2:42">
      <c r="B576" s="39"/>
      <c r="C576" s="39"/>
      <c r="D576" s="39"/>
      <c r="E576" s="39"/>
      <c r="F576" s="39"/>
      <c r="G576" s="39"/>
      <c r="H576" s="39"/>
      <c r="I576" s="39"/>
      <c r="J576" s="39"/>
      <c r="K576" s="39"/>
      <c r="L576" s="100"/>
      <c r="N576" s="39"/>
      <c r="O576" s="39"/>
      <c r="P576" s="39"/>
      <c r="Q576" s="39"/>
      <c r="R576" s="39"/>
      <c r="S576" s="39"/>
      <c r="T576" s="39"/>
      <c r="U576" s="39"/>
      <c r="V576" s="39"/>
      <c r="W576" s="39"/>
      <c r="Y576" s="39"/>
      <c r="Z576" s="39"/>
      <c r="AA576" s="39"/>
      <c r="AB576" s="39"/>
      <c r="AC576" s="39"/>
      <c r="AD576" s="39"/>
      <c r="AE576" s="39"/>
      <c r="AF576" s="39"/>
      <c r="AG576" s="39"/>
      <c r="AH576" s="39"/>
      <c r="AI576" s="39"/>
      <c r="AJ576" s="423"/>
      <c r="AK576" s="39"/>
      <c r="AL576" s="423"/>
      <c r="AM576" s="39"/>
      <c r="AN576" s="39"/>
      <c r="AO576" s="39"/>
      <c r="AP576" s="39"/>
    </row>
    <row r="577" spans="2:42">
      <c r="B577" s="39"/>
      <c r="C577" s="39"/>
      <c r="D577" s="39"/>
      <c r="E577" s="39"/>
      <c r="F577" s="39"/>
      <c r="G577" s="39"/>
      <c r="H577" s="39"/>
      <c r="I577" s="39"/>
      <c r="J577" s="39"/>
      <c r="K577" s="39"/>
      <c r="L577" s="100"/>
      <c r="N577" s="39"/>
      <c r="O577" s="39"/>
      <c r="P577" s="39"/>
      <c r="Q577" s="39"/>
      <c r="R577" s="39"/>
      <c r="S577" s="39"/>
      <c r="T577" s="39"/>
      <c r="U577" s="39"/>
      <c r="V577" s="39"/>
      <c r="W577" s="39"/>
      <c r="Y577" s="39"/>
      <c r="Z577" s="39"/>
      <c r="AA577" s="39"/>
      <c r="AB577" s="39"/>
      <c r="AC577" s="39"/>
      <c r="AD577" s="39"/>
      <c r="AE577" s="39"/>
      <c r="AF577" s="39"/>
      <c r="AG577" s="39"/>
      <c r="AH577" s="39"/>
      <c r="AI577" s="39"/>
      <c r="AJ577" s="423"/>
      <c r="AK577" s="39"/>
      <c r="AL577" s="423"/>
      <c r="AM577" s="39"/>
      <c r="AN577" s="39"/>
      <c r="AO577" s="39"/>
      <c r="AP577" s="39"/>
    </row>
    <row r="578" spans="2:42">
      <c r="B578" s="39"/>
      <c r="C578" s="39"/>
      <c r="D578" s="39"/>
      <c r="E578" s="39"/>
      <c r="F578" s="39"/>
      <c r="G578" s="39"/>
      <c r="H578" s="39"/>
      <c r="I578" s="39"/>
      <c r="J578" s="39"/>
      <c r="K578" s="39"/>
      <c r="L578" s="100"/>
      <c r="N578" s="39"/>
      <c r="O578" s="39"/>
      <c r="P578" s="39"/>
      <c r="Q578" s="39"/>
      <c r="R578" s="39"/>
      <c r="S578" s="39"/>
      <c r="T578" s="39"/>
      <c r="U578" s="39"/>
      <c r="V578" s="39"/>
      <c r="W578" s="39"/>
      <c r="Y578" s="39"/>
      <c r="Z578" s="39"/>
      <c r="AA578" s="39"/>
      <c r="AB578" s="39"/>
      <c r="AC578" s="39"/>
      <c r="AD578" s="39"/>
      <c r="AE578" s="39"/>
      <c r="AF578" s="39"/>
      <c r="AG578" s="39"/>
      <c r="AH578" s="39"/>
      <c r="AI578" s="39"/>
      <c r="AJ578" s="423"/>
      <c r="AK578" s="39"/>
      <c r="AL578" s="423"/>
      <c r="AM578" s="39"/>
      <c r="AN578" s="39"/>
      <c r="AO578" s="39"/>
      <c r="AP578" s="39"/>
    </row>
    <row r="579" spans="2:42">
      <c r="B579" s="39"/>
      <c r="C579" s="39"/>
      <c r="D579" s="39"/>
      <c r="E579" s="39"/>
      <c r="F579" s="39"/>
      <c r="G579" s="39"/>
      <c r="H579" s="39"/>
      <c r="I579" s="39"/>
      <c r="J579" s="39"/>
      <c r="K579" s="39"/>
      <c r="L579" s="100"/>
      <c r="N579" s="39"/>
      <c r="O579" s="39"/>
      <c r="P579" s="39"/>
      <c r="Q579" s="39"/>
      <c r="R579" s="39"/>
      <c r="S579" s="39"/>
      <c r="T579" s="39"/>
      <c r="U579" s="39"/>
      <c r="V579" s="39"/>
      <c r="W579" s="39"/>
      <c r="Y579" s="39"/>
      <c r="Z579" s="39"/>
      <c r="AA579" s="39"/>
      <c r="AB579" s="39"/>
      <c r="AC579" s="39"/>
      <c r="AD579" s="39"/>
      <c r="AE579" s="39"/>
      <c r="AF579" s="39"/>
      <c r="AG579" s="39"/>
      <c r="AH579" s="39"/>
      <c r="AI579" s="39"/>
      <c r="AJ579" s="423"/>
      <c r="AK579" s="39"/>
      <c r="AL579" s="423"/>
      <c r="AM579" s="39"/>
      <c r="AN579" s="39"/>
      <c r="AO579" s="39"/>
      <c r="AP579" s="39"/>
    </row>
    <row r="580" spans="2:42">
      <c r="B580" s="39"/>
      <c r="C580" s="39"/>
      <c r="D580" s="39"/>
      <c r="E580" s="39"/>
      <c r="F580" s="39"/>
      <c r="G580" s="39"/>
      <c r="H580" s="39"/>
      <c r="I580" s="39"/>
      <c r="J580" s="39"/>
      <c r="K580" s="39"/>
      <c r="L580" s="100"/>
      <c r="N580" s="39"/>
      <c r="O580" s="39"/>
      <c r="P580" s="39"/>
      <c r="Q580" s="39"/>
      <c r="R580" s="39"/>
      <c r="S580" s="39"/>
      <c r="T580" s="39"/>
      <c r="U580" s="39"/>
      <c r="V580" s="39"/>
      <c r="W580" s="39"/>
      <c r="Y580" s="39"/>
      <c r="Z580" s="39"/>
      <c r="AA580" s="39"/>
      <c r="AB580" s="39"/>
      <c r="AC580" s="39"/>
      <c r="AD580" s="39"/>
      <c r="AE580" s="39"/>
      <c r="AF580" s="39"/>
      <c r="AG580" s="39"/>
      <c r="AH580" s="39"/>
      <c r="AI580" s="39"/>
      <c r="AJ580" s="423"/>
      <c r="AK580" s="39"/>
      <c r="AL580" s="423"/>
      <c r="AM580" s="39"/>
      <c r="AN580" s="39"/>
      <c r="AO580" s="39"/>
      <c r="AP580" s="39"/>
    </row>
    <row r="581" spans="2:42">
      <c r="B581" s="39"/>
      <c r="C581" s="39"/>
      <c r="D581" s="39"/>
      <c r="E581" s="39"/>
      <c r="F581" s="39"/>
      <c r="G581" s="39"/>
      <c r="H581" s="39"/>
      <c r="I581" s="39"/>
      <c r="J581" s="39"/>
      <c r="K581" s="39"/>
      <c r="L581" s="100"/>
      <c r="N581" s="39"/>
      <c r="O581" s="39"/>
      <c r="P581" s="39"/>
      <c r="Q581" s="39"/>
      <c r="R581" s="39"/>
      <c r="S581" s="39"/>
      <c r="T581" s="39"/>
      <c r="U581" s="39"/>
      <c r="V581" s="39"/>
      <c r="W581" s="39"/>
      <c r="Y581" s="39"/>
      <c r="Z581" s="39"/>
      <c r="AA581" s="39"/>
      <c r="AB581" s="39"/>
      <c r="AC581" s="39"/>
      <c r="AD581" s="39"/>
      <c r="AE581" s="39"/>
      <c r="AF581" s="39"/>
      <c r="AG581" s="39"/>
      <c r="AH581" s="39"/>
      <c r="AI581" s="39"/>
      <c r="AJ581" s="423"/>
      <c r="AK581" s="39"/>
      <c r="AL581" s="423"/>
      <c r="AM581" s="39"/>
      <c r="AN581" s="39"/>
      <c r="AO581" s="39"/>
      <c r="AP581" s="39"/>
    </row>
    <row r="582" spans="2:42">
      <c r="B582" s="39"/>
      <c r="C582" s="39"/>
      <c r="D582" s="39"/>
      <c r="E582" s="39"/>
      <c r="F582" s="39"/>
      <c r="G582" s="39"/>
      <c r="H582" s="39"/>
      <c r="I582" s="39"/>
      <c r="J582" s="39"/>
      <c r="K582" s="39"/>
      <c r="L582" s="100"/>
      <c r="N582" s="39"/>
      <c r="O582" s="39"/>
      <c r="P582" s="39"/>
      <c r="Q582" s="39"/>
      <c r="R582" s="39"/>
      <c r="S582" s="39"/>
      <c r="T582" s="39"/>
      <c r="U582" s="39"/>
      <c r="V582" s="39"/>
      <c r="W582" s="39"/>
      <c r="Y582" s="39"/>
      <c r="Z582" s="39"/>
      <c r="AA582" s="39"/>
      <c r="AB582" s="39"/>
      <c r="AC582" s="39"/>
      <c r="AD582" s="39"/>
      <c r="AE582" s="39"/>
      <c r="AF582" s="39"/>
      <c r="AG582" s="39"/>
      <c r="AH582" s="39"/>
      <c r="AI582" s="39"/>
      <c r="AJ582" s="423"/>
      <c r="AK582" s="39"/>
      <c r="AL582" s="423"/>
      <c r="AM582" s="39"/>
      <c r="AN582" s="39"/>
      <c r="AO582" s="39"/>
      <c r="AP582" s="39"/>
    </row>
    <row r="583" spans="2:42">
      <c r="B583" s="39"/>
      <c r="C583" s="39"/>
      <c r="D583" s="39"/>
      <c r="E583" s="39"/>
      <c r="F583" s="39"/>
      <c r="G583" s="39"/>
      <c r="H583" s="39"/>
      <c r="I583" s="39"/>
      <c r="J583" s="39"/>
      <c r="K583" s="39"/>
      <c r="L583" s="100"/>
      <c r="N583" s="39"/>
      <c r="O583" s="39"/>
      <c r="P583" s="39"/>
      <c r="Q583" s="39"/>
      <c r="R583" s="39"/>
      <c r="S583" s="39"/>
      <c r="T583" s="39"/>
      <c r="U583" s="39"/>
      <c r="V583" s="39"/>
      <c r="W583" s="39"/>
      <c r="Y583" s="39"/>
      <c r="Z583" s="39"/>
      <c r="AA583" s="39"/>
      <c r="AB583" s="39"/>
      <c r="AC583" s="39"/>
      <c r="AD583" s="39"/>
      <c r="AE583" s="39"/>
      <c r="AF583" s="39"/>
      <c r="AG583" s="39"/>
      <c r="AH583" s="39"/>
      <c r="AI583" s="39"/>
      <c r="AJ583" s="423"/>
      <c r="AK583" s="39"/>
      <c r="AL583" s="423"/>
      <c r="AM583" s="39"/>
      <c r="AN583" s="39"/>
      <c r="AO583" s="39"/>
      <c r="AP583" s="39"/>
    </row>
    <row r="584" spans="2:42">
      <c r="B584" s="39"/>
      <c r="C584" s="39"/>
      <c r="D584" s="39"/>
      <c r="E584" s="39"/>
      <c r="F584" s="39"/>
      <c r="G584" s="39"/>
      <c r="H584" s="39"/>
      <c r="I584" s="39"/>
      <c r="J584" s="39"/>
      <c r="K584" s="39"/>
      <c r="L584" s="100"/>
      <c r="N584" s="39"/>
      <c r="O584" s="39"/>
      <c r="P584" s="39"/>
      <c r="Q584" s="39"/>
      <c r="R584" s="39"/>
      <c r="S584" s="39"/>
      <c r="T584" s="39"/>
      <c r="U584" s="39"/>
      <c r="V584" s="39"/>
      <c r="W584" s="39"/>
      <c r="Y584" s="39"/>
      <c r="Z584" s="39"/>
      <c r="AA584" s="39"/>
      <c r="AB584" s="39"/>
      <c r="AC584" s="39"/>
      <c r="AD584" s="39"/>
      <c r="AE584" s="39"/>
      <c r="AF584" s="39"/>
      <c r="AG584" s="39"/>
      <c r="AH584" s="39"/>
      <c r="AI584" s="39"/>
      <c r="AJ584" s="423"/>
      <c r="AK584" s="39"/>
      <c r="AL584" s="423"/>
      <c r="AM584" s="39"/>
      <c r="AN584" s="39"/>
      <c r="AO584" s="39"/>
      <c r="AP584" s="39"/>
    </row>
    <row r="585" spans="2:42">
      <c r="B585" s="39"/>
      <c r="C585" s="39"/>
      <c r="D585" s="39"/>
      <c r="E585" s="39"/>
      <c r="F585" s="39"/>
      <c r="G585" s="39"/>
      <c r="H585" s="39"/>
      <c r="I585" s="39"/>
      <c r="J585" s="39"/>
      <c r="K585" s="39"/>
      <c r="L585" s="100"/>
      <c r="N585" s="39"/>
      <c r="O585" s="39"/>
      <c r="P585" s="39"/>
      <c r="Q585" s="39"/>
      <c r="R585" s="39"/>
      <c r="S585" s="39"/>
      <c r="T585" s="39"/>
      <c r="U585" s="39"/>
      <c r="V585" s="39"/>
      <c r="W585" s="39"/>
      <c r="Y585" s="39"/>
      <c r="Z585" s="39"/>
      <c r="AA585" s="39"/>
      <c r="AB585" s="39"/>
      <c r="AC585" s="39"/>
      <c r="AD585" s="39"/>
      <c r="AE585" s="39"/>
      <c r="AF585" s="39"/>
      <c r="AG585" s="39"/>
      <c r="AH585" s="39"/>
      <c r="AI585" s="39"/>
      <c r="AJ585" s="423"/>
      <c r="AK585" s="39"/>
      <c r="AL585" s="423"/>
      <c r="AM585" s="39"/>
      <c r="AN585" s="39"/>
      <c r="AO585" s="39"/>
      <c r="AP585" s="39"/>
    </row>
    <row r="586" spans="2:42">
      <c r="B586" s="39"/>
      <c r="C586" s="39"/>
      <c r="D586" s="39"/>
      <c r="E586" s="39"/>
      <c r="F586" s="39"/>
      <c r="G586" s="39"/>
      <c r="H586" s="39"/>
      <c r="I586" s="39"/>
      <c r="J586" s="39"/>
      <c r="K586" s="39"/>
      <c r="L586" s="100"/>
      <c r="N586" s="39"/>
      <c r="O586" s="39"/>
      <c r="P586" s="39"/>
      <c r="Q586" s="39"/>
      <c r="R586" s="39"/>
      <c r="S586" s="39"/>
      <c r="T586" s="39"/>
      <c r="U586" s="39"/>
      <c r="V586" s="39"/>
      <c r="W586" s="39"/>
      <c r="Y586" s="39"/>
      <c r="Z586" s="39"/>
      <c r="AA586" s="39"/>
      <c r="AB586" s="39"/>
      <c r="AC586" s="39"/>
      <c r="AD586" s="39"/>
      <c r="AE586" s="39"/>
      <c r="AF586" s="39"/>
      <c r="AG586" s="39"/>
      <c r="AH586" s="39"/>
      <c r="AI586" s="39"/>
      <c r="AJ586" s="423"/>
      <c r="AK586" s="39"/>
      <c r="AL586" s="423"/>
      <c r="AM586" s="39"/>
      <c r="AN586" s="39"/>
      <c r="AO586" s="39"/>
      <c r="AP586" s="39"/>
    </row>
    <row r="587" spans="2:42">
      <c r="B587" s="39"/>
      <c r="C587" s="39"/>
      <c r="D587" s="39"/>
      <c r="E587" s="39"/>
      <c r="F587" s="39"/>
      <c r="G587" s="39"/>
      <c r="H587" s="39"/>
      <c r="I587" s="39"/>
      <c r="J587" s="39"/>
      <c r="K587" s="39"/>
      <c r="L587" s="100"/>
      <c r="N587" s="39"/>
      <c r="O587" s="39"/>
      <c r="P587" s="39"/>
      <c r="Q587" s="39"/>
      <c r="R587" s="39"/>
      <c r="S587" s="39"/>
      <c r="T587" s="39"/>
      <c r="U587" s="39"/>
      <c r="V587" s="39"/>
      <c r="W587" s="39"/>
      <c r="Y587" s="39"/>
      <c r="Z587" s="39"/>
      <c r="AA587" s="39"/>
      <c r="AB587" s="39"/>
      <c r="AC587" s="39"/>
      <c r="AD587" s="39"/>
      <c r="AE587" s="39"/>
      <c r="AF587" s="39"/>
      <c r="AG587" s="39"/>
      <c r="AH587" s="39"/>
      <c r="AI587" s="39"/>
      <c r="AJ587" s="423"/>
      <c r="AK587" s="39"/>
      <c r="AL587" s="423"/>
      <c r="AM587" s="39"/>
      <c r="AN587" s="39"/>
      <c r="AO587" s="39"/>
      <c r="AP587" s="39"/>
    </row>
    <row r="588" spans="2:42">
      <c r="B588" s="39"/>
      <c r="C588" s="39"/>
      <c r="D588" s="39"/>
      <c r="E588" s="39"/>
      <c r="F588" s="39"/>
      <c r="G588" s="39"/>
      <c r="H588" s="39"/>
      <c r="I588" s="39"/>
      <c r="J588" s="39"/>
      <c r="K588" s="39"/>
      <c r="L588" s="100"/>
      <c r="N588" s="39"/>
      <c r="O588" s="39"/>
      <c r="P588" s="39"/>
      <c r="Q588" s="39"/>
      <c r="R588" s="39"/>
      <c r="S588" s="39"/>
      <c r="T588" s="39"/>
      <c r="U588" s="39"/>
      <c r="V588" s="39"/>
      <c r="W588" s="39"/>
      <c r="Y588" s="39"/>
      <c r="Z588" s="39"/>
      <c r="AA588" s="39"/>
      <c r="AB588" s="39"/>
      <c r="AC588" s="39"/>
      <c r="AD588" s="39"/>
      <c r="AE588" s="39"/>
      <c r="AF588" s="39"/>
      <c r="AG588" s="39"/>
      <c r="AH588" s="39"/>
      <c r="AI588" s="39"/>
      <c r="AJ588" s="423"/>
      <c r="AK588" s="39"/>
      <c r="AL588" s="423"/>
      <c r="AM588" s="39"/>
      <c r="AN588" s="39"/>
      <c r="AO588" s="39"/>
      <c r="AP588" s="39"/>
    </row>
    <row r="589" spans="2:42">
      <c r="B589" s="39"/>
      <c r="C589" s="39"/>
      <c r="D589" s="39"/>
      <c r="E589" s="39"/>
      <c r="F589" s="39"/>
      <c r="G589" s="39"/>
      <c r="H589" s="39"/>
      <c r="I589" s="39"/>
      <c r="J589" s="39"/>
      <c r="K589" s="39"/>
      <c r="L589" s="100"/>
      <c r="N589" s="39"/>
      <c r="O589" s="39"/>
      <c r="P589" s="39"/>
      <c r="Q589" s="39"/>
      <c r="R589" s="39"/>
      <c r="S589" s="39"/>
      <c r="T589" s="39"/>
      <c r="U589" s="39"/>
      <c r="V589" s="39"/>
      <c r="W589" s="39"/>
      <c r="Y589" s="39"/>
      <c r="Z589" s="39"/>
      <c r="AA589" s="39"/>
      <c r="AB589" s="39"/>
      <c r="AC589" s="39"/>
      <c r="AD589" s="39"/>
      <c r="AE589" s="39"/>
      <c r="AF589" s="39"/>
      <c r="AG589" s="39"/>
      <c r="AH589" s="39"/>
      <c r="AI589" s="39"/>
      <c r="AJ589" s="423"/>
      <c r="AK589" s="39"/>
      <c r="AL589" s="423"/>
      <c r="AM589" s="39"/>
      <c r="AN589" s="39"/>
      <c r="AO589" s="39"/>
      <c r="AP589" s="39"/>
    </row>
    <row r="590" spans="2:42">
      <c r="B590" s="39"/>
      <c r="C590" s="39"/>
      <c r="D590" s="39"/>
      <c r="E590" s="39"/>
      <c r="F590" s="39"/>
      <c r="G590" s="39"/>
      <c r="H590" s="39"/>
      <c r="I590" s="39"/>
      <c r="J590" s="39"/>
      <c r="K590" s="39"/>
      <c r="L590" s="100"/>
      <c r="N590" s="39"/>
      <c r="O590" s="39"/>
      <c r="P590" s="39"/>
      <c r="Q590" s="39"/>
      <c r="R590" s="39"/>
      <c r="S590" s="39"/>
      <c r="T590" s="39"/>
      <c r="U590" s="39"/>
      <c r="V590" s="39"/>
      <c r="W590" s="39"/>
      <c r="Y590" s="39"/>
      <c r="Z590" s="39"/>
      <c r="AA590" s="39"/>
      <c r="AB590" s="39"/>
      <c r="AC590" s="39"/>
      <c r="AD590" s="39"/>
      <c r="AE590" s="39"/>
      <c r="AF590" s="39"/>
      <c r="AG590" s="39"/>
      <c r="AH590" s="39"/>
      <c r="AI590" s="39"/>
      <c r="AJ590" s="423"/>
      <c r="AK590" s="39"/>
      <c r="AL590" s="423"/>
      <c r="AM590" s="39"/>
      <c r="AN590" s="39"/>
      <c r="AO590" s="39"/>
      <c r="AP590" s="39"/>
    </row>
    <row r="591" spans="2:42">
      <c r="B591" s="39"/>
      <c r="C591" s="39"/>
      <c r="D591" s="39"/>
      <c r="E591" s="39"/>
      <c r="F591" s="39"/>
      <c r="G591" s="39"/>
      <c r="H591" s="39"/>
      <c r="I591" s="39"/>
      <c r="J591" s="39"/>
      <c r="K591" s="39"/>
      <c r="L591" s="100"/>
      <c r="N591" s="39"/>
      <c r="O591" s="39"/>
      <c r="P591" s="39"/>
      <c r="Q591" s="39"/>
      <c r="R591" s="39"/>
      <c r="S591" s="39"/>
      <c r="T591" s="39"/>
      <c r="U591" s="39"/>
      <c r="V591" s="39"/>
      <c r="W591" s="39"/>
      <c r="Y591" s="39"/>
      <c r="Z591" s="39"/>
      <c r="AA591" s="39"/>
      <c r="AB591" s="39"/>
      <c r="AC591" s="39"/>
      <c r="AD591" s="39"/>
      <c r="AE591" s="39"/>
      <c r="AF591" s="39"/>
      <c r="AG591" s="39"/>
      <c r="AH591" s="39"/>
      <c r="AI591" s="39"/>
      <c r="AJ591" s="423"/>
      <c r="AK591" s="39"/>
      <c r="AL591" s="423"/>
      <c r="AM591" s="39"/>
      <c r="AN591" s="39"/>
      <c r="AO591" s="39"/>
      <c r="AP591" s="39"/>
    </row>
    <row r="592" spans="2:42">
      <c r="B592" s="39"/>
      <c r="C592" s="39"/>
      <c r="D592" s="39"/>
      <c r="E592" s="39"/>
      <c r="F592" s="39"/>
      <c r="G592" s="39"/>
      <c r="H592" s="39"/>
      <c r="I592" s="39"/>
      <c r="J592" s="39"/>
      <c r="K592" s="39"/>
      <c r="L592" s="100"/>
      <c r="N592" s="39"/>
      <c r="O592" s="39"/>
      <c r="P592" s="39"/>
      <c r="Q592" s="39"/>
      <c r="R592" s="39"/>
      <c r="S592" s="39"/>
      <c r="T592" s="39"/>
      <c r="U592" s="39"/>
      <c r="V592" s="39"/>
      <c r="W592" s="39"/>
      <c r="Y592" s="39"/>
      <c r="Z592" s="39"/>
      <c r="AA592" s="39"/>
      <c r="AB592" s="39"/>
      <c r="AC592" s="39"/>
      <c r="AD592" s="39"/>
      <c r="AE592" s="39"/>
      <c r="AF592" s="39"/>
      <c r="AG592" s="39"/>
      <c r="AH592" s="39"/>
      <c r="AI592" s="39"/>
      <c r="AJ592" s="423"/>
      <c r="AK592" s="39"/>
      <c r="AL592" s="423"/>
      <c r="AM592" s="39"/>
      <c r="AN592" s="39"/>
      <c r="AO592" s="39"/>
      <c r="AP592" s="39"/>
    </row>
    <row r="593" spans="2:42">
      <c r="B593" s="39"/>
      <c r="C593" s="39"/>
      <c r="D593" s="39"/>
      <c r="E593" s="39"/>
      <c r="F593" s="39"/>
      <c r="G593" s="39"/>
      <c r="H593" s="39"/>
      <c r="I593" s="39"/>
      <c r="J593" s="39"/>
      <c r="K593" s="39"/>
      <c r="L593" s="100"/>
      <c r="N593" s="39"/>
      <c r="O593" s="39"/>
      <c r="P593" s="39"/>
      <c r="Q593" s="39"/>
      <c r="R593" s="39"/>
      <c r="S593" s="39"/>
      <c r="T593" s="39"/>
      <c r="U593" s="39"/>
      <c r="V593" s="39"/>
      <c r="W593" s="39"/>
      <c r="Y593" s="39"/>
      <c r="Z593" s="39"/>
      <c r="AA593" s="39"/>
      <c r="AB593" s="39"/>
      <c r="AC593" s="39"/>
      <c r="AD593" s="39"/>
      <c r="AE593" s="39"/>
      <c r="AF593" s="39"/>
      <c r="AG593" s="39"/>
      <c r="AH593" s="39"/>
      <c r="AI593" s="39"/>
      <c r="AJ593" s="423"/>
      <c r="AK593" s="39"/>
      <c r="AL593" s="423"/>
      <c r="AM593" s="39"/>
      <c r="AN593" s="39"/>
      <c r="AO593" s="39"/>
      <c r="AP593" s="39"/>
    </row>
    <row r="594" spans="2:42">
      <c r="B594" s="39"/>
      <c r="C594" s="39"/>
      <c r="D594" s="39"/>
      <c r="E594" s="39"/>
      <c r="F594" s="39"/>
      <c r="G594" s="39"/>
      <c r="H594" s="39"/>
      <c r="I594" s="39"/>
      <c r="J594" s="39"/>
      <c r="K594" s="39"/>
      <c r="L594" s="100"/>
      <c r="N594" s="39"/>
      <c r="O594" s="39"/>
      <c r="P594" s="39"/>
      <c r="Q594" s="39"/>
      <c r="R594" s="39"/>
      <c r="S594" s="39"/>
      <c r="T594" s="39"/>
      <c r="U594" s="39"/>
      <c r="V594" s="39"/>
      <c r="W594" s="39"/>
      <c r="Y594" s="39"/>
      <c r="Z594" s="39"/>
      <c r="AA594" s="39"/>
      <c r="AB594" s="39"/>
      <c r="AC594" s="39"/>
      <c r="AD594" s="39"/>
      <c r="AE594" s="39"/>
      <c r="AF594" s="39"/>
      <c r="AG594" s="39"/>
      <c r="AH594" s="39"/>
      <c r="AI594" s="39"/>
      <c r="AJ594" s="423"/>
      <c r="AK594" s="39"/>
      <c r="AL594" s="423"/>
      <c r="AM594" s="39"/>
      <c r="AN594" s="39"/>
      <c r="AO594" s="39"/>
      <c r="AP594" s="39"/>
    </row>
    <row r="595" spans="2:42">
      <c r="B595" s="39"/>
      <c r="C595" s="39"/>
      <c r="D595" s="39"/>
      <c r="E595" s="39"/>
      <c r="F595" s="39"/>
      <c r="G595" s="39"/>
      <c r="H595" s="39"/>
      <c r="I595" s="39"/>
      <c r="J595" s="39"/>
      <c r="K595" s="39"/>
      <c r="L595" s="100"/>
      <c r="N595" s="39"/>
      <c r="O595" s="39"/>
      <c r="P595" s="39"/>
      <c r="Q595" s="39"/>
      <c r="R595" s="39"/>
      <c r="S595" s="39"/>
      <c r="T595" s="39"/>
      <c r="U595" s="39"/>
      <c r="V595" s="39"/>
      <c r="W595" s="39"/>
      <c r="Y595" s="39"/>
      <c r="Z595" s="39"/>
      <c r="AA595" s="39"/>
      <c r="AB595" s="39"/>
      <c r="AC595" s="39"/>
      <c r="AD595" s="39"/>
      <c r="AE595" s="39"/>
      <c r="AF595" s="39"/>
      <c r="AG595" s="39"/>
      <c r="AH595" s="39"/>
      <c r="AI595" s="39"/>
      <c r="AJ595" s="423"/>
      <c r="AK595" s="39"/>
      <c r="AL595" s="423"/>
      <c r="AM595" s="39"/>
      <c r="AN595" s="39"/>
      <c r="AO595" s="39"/>
      <c r="AP595" s="39"/>
    </row>
    <row r="596" spans="2:42">
      <c r="B596" s="39"/>
      <c r="C596" s="39"/>
      <c r="D596" s="39"/>
      <c r="E596" s="39"/>
      <c r="F596" s="39"/>
      <c r="G596" s="39"/>
      <c r="H596" s="39"/>
      <c r="I596" s="39"/>
      <c r="J596" s="39"/>
      <c r="K596" s="39"/>
      <c r="L596" s="100"/>
      <c r="N596" s="39"/>
      <c r="O596" s="39"/>
      <c r="P596" s="39"/>
      <c r="Q596" s="39"/>
      <c r="R596" s="39"/>
      <c r="S596" s="39"/>
      <c r="T596" s="39"/>
      <c r="U596" s="39"/>
      <c r="V596" s="39"/>
      <c r="W596" s="39"/>
      <c r="Y596" s="39"/>
      <c r="Z596" s="39"/>
      <c r="AA596" s="39"/>
      <c r="AB596" s="39"/>
      <c r="AC596" s="39"/>
      <c r="AD596" s="39"/>
      <c r="AE596" s="39"/>
      <c r="AF596" s="39"/>
      <c r="AG596" s="39"/>
      <c r="AH596" s="39"/>
      <c r="AI596" s="39"/>
      <c r="AJ596" s="423"/>
      <c r="AK596" s="39"/>
      <c r="AL596" s="423"/>
      <c r="AM596" s="39"/>
      <c r="AN596" s="39"/>
      <c r="AO596" s="39"/>
      <c r="AP596" s="39"/>
    </row>
    <row r="597" spans="2:42">
      <c r="B597" s="39"/>
      <c r="C597" s="39"/>
      <c r="D597" s="39"/>
      <c r="E597" s="39"/>
      <c r="F597" s="39"/>
      <c r="G597" s="39"/>
      <c r="H597" s="39"/>
      <c r="I597" s="39"/>
      <c r="J597" s="39"/>
      <c r="K597" s="39"/>
      <c r="L597" s="100"/>
      <c r="N597" s="39"/>
      <c r="O597" s="39"/>
      <c r="P597" s="39"/>
      <c r="Q597" s="39"/>
      <c r="R597" s="39"/>
      <c r="S597" s="39"/>
      <c r="T597" s="39"/>
      <c r="U597" s="39"/>
      <c r="V597" s="39"/>
      <c r="W597" s="39"/>
      <c r="Y597" s="39"/>
      <c r="Z597" s="39"/>
      <c r="AA597" s="39"/>
      <c r="AB597" s="39"/>
      <c r="AC597" s="39"/>
      <c r="AD597" s="39"/>
      <c r="AE597" s="39"/>
      <c r="AF597" s="39"/>
      <c r="AG597" s="39"/>
      <c r="AH597" s="39"/>
      <c r="AI597" s="39"/>
      <c r="AJ597" s="423"/>
      <c r="AK597" s="39"/>
      <c r="AL597" s="423"/>
      <c r="AM597" s="39"/>
      <c r="AN597" s="39"/>
      <c r="AO597" s="39"/>
      <c r="AP597" s="39"/>
    </row>
    <row r="598" spans="2:42">
      <c r="B598" s="39"/>
      <c r="C598" s="39"/>
      <c r="D598" s="39"/>
      <c r="E598" s="39"/>
      <c r="F598" s="39"/>
      <c r="G598" s="39"/>
      <c r="H598" s="39"/>
      <c r="I598" s="39"/>
      <c r="J598" s="39"/>
      <c r="K598" s="39"/>
      <c r="L598" s="100"/>
      <c r="N598" s="39"/>
      <c r="O598" s="39"/>
      <c r="P598" s="39"/>
      <c r="Q598" s="39"/>
      <c r="R598" s="39"/>
      <c r="S598" s="39"/>
      <c r="T598" s="39"/>
      <c r="U598" s="39"/>
      <c r="V598" s="39"/>
      <c r="W598" s="39"/>
      <c r="Y598" s="39"/>
      <c r="Z598" s="39"/>
      <c r="AA598" s="39"/>
      <c r="AB598" s="39"/>
      <c r="AC598" s="39"/>
      <c r="AD598" s="39"/>
      <c r="AE598" s="39"/>
      <c r="AF598" s="39"/>
      <c r="AG598" s="39"/>
      <c r="AH598" s="39"/>
      <c r="AI598" s="39"/>
      <c r="AJ598" s="423"/>
      <c r="AK598" s="39"/>
      <c r="AL598" s="423"/>
      <c r="AM598" s="39"/>
      <c r="AN598" s="39"/>
      <c r="AO598" s="39"/>
      <c r="AP598" s="39"/>
    </row>
    <row r="599" spans="2:42">
      <c r="B599" s="39"/>
      <c r="C599" s="39"/>
      <c r="D599" s="39"/>
      <c r="E599" s="39"/>
      <c r="F599" s="39"/>
      <c r="G599" s="39"/>
      <c r="H599" s="39"/>
      <c r="I599" s="39"/>
      <c r="J599" s="39"/>
      <c r="K599" s="39"/>
      <c r="L599" s="100"/>
      <c r="N599" s="39"/>
      <c r="O599" s="39"/>
      <c r="P599" s="39"/>
      <c r="Q599" s="39"/>
      <c r="R599" s="39"/>
      <c r="S599" s="39"/>
      <c r="T599" s="39"/>
      <c r="U599" s="39"/>
      <c r="V599" s="39"/>
      <c r="W599" s="39"/>
      <c r="Y599" s="39"/>
      <c r="Z599" s="39"/>
      <c r="AA599" s="39"/>
      <c r="AB599" s="39"/>
      <c r="AC599" s="39"/>
      <c r="AD599" s="39"/>
      <c r="AE599" s="39"/>
      <c r="AF599" s="39"/>
      <c r="AG599" s="39"/>
      <c r="AH599" s="39"/>
      <c r="AI599" s="39"/>
      <c r="AJ599" s="423"/>
      <c r="AK599" s="39"/>
      <c r="AL599" s="423"/>
      <c r="AM599" s="39"/>
      <c r="AN599" s="39"/>
      <c r="AO599" s="39"/>
      <c r="AP599" s="39"/>
    </row>
    <row r="600" spans="2:42">
      <c r="B600" s="39"/>
      <c r="C600" s="39"/>
      <c r="D600" s="39"/>
      <c r="E600" s="39"/>
      <c r="F600" s="39"/>
      <c r="G600" s="39"/>
      <c r="H600" s="39"/>
      <c r="I600" s="39"/>
      <c r="J600" s="39"/>
      <c r="K600" s="39"/>
      <c r="L600" s="100"/>
      <c r="N600" s="39"/>
      <c r="O600" s="39"/>
      <c r="P600" s="39"/>
      <c r="Q600" s="39"/>
      <c r="R600" s="39"/>
      <c r="S600" s="39"/>
      <c r="T600" s="39"/>
      <c r="U600" s="39"/>
      <c r="V600" s="39"/>
      <c r="W600" s="39"/>
      <c r="Y600" s="39"/>
      <c r="Z600" s="39"/>
      <c r="AA600" s="39"/>
      <c r="AB600" s="39"/>
      <c r="AC600" s="39"/>
      <c r="AD600" s="39"/>
      <c r="AE600" s="39"/>
      <c r="AF600" s="39"/>
      <c r="AG600" s="39"/>
      <c r="AH600" s="39"/>
      <c r="AI600" s="39"/>
      <c r="AJ600" s="423"/>
      <c r="AK600" s="39"/>
      <c r="AL600" s="423"/>
      <c r="AM600" s="39"/>
      <c r="AN600" s="39"/>
      <c r="AO600" s="39"/>
      <c r="AP600" s="39"/>
    </row>
    <row r="601" spans="2:42">
      <c r="B601" s="39"/>
      <c r="C601" s="39"/>
      <c r="D601" s="39"/>
      <c r="E601" s="39"/>
      <c r="F601" s="39"/>
      <c r="G601" s="39"/>
      <c r="H601" s="39"/>
      <c r="I601" s="39"/>
      <c r="J601" s="39"/>
      <c r="K601" s="39"/>
      <c r="L601" s="100"/>
      <c r="N601" s="39"/>
      <c r="O601" s="39"/>
      <c r="P601" s="39"/>
      <c r="Q601" s="39"/>
      <c r="R601" s="39"/>
      <c r="S601" s="39"/>
      <c r="T601" s="39"/>
      <c r="U601" s="39"/>
      <c r="V601" s="39"/>
      <c r="W601" s="39"/>
      <c r="Y601" s="39"/>
      <c r="Z601" s="39"/>
      <c r="AA601" s="39"/>
      <c r="AB601" s="39"/>
      <c r="AC601" s="39"/>
      <c r="AD601" s="39"/>
      <c r="AE601" s="39"/>
      <c r="AF601" s="39"/>
      <c r="AG601" s="39"/>
      <c r="AH601" s="39"/>
      <c r="AI601" s="39"/>
      <c r="AJ601" s="423"/>
      <c r="AK601" s="39"/>
      <c r="AL601" s="423"/>
      <c r="AM601" s="39"/>
      <c r="AN601" s="39"/>
      <c r="AO601" s="39"/>
      <c r="AP601" s="39"/>
    </row>
    <row r="602" spans="2:42">
      <c r="B602" s="39"/>
      <c r="C602" s="39"/>
      <c r="D602" s="39"/>
      <c r="E602" s="39"/>
      <c r="F602" s="39"/>
      <c r="G602" s="39"/>
      <c r="H602" s="39"/>
      <c r="I602" s="39"/>
      <c r="J602" s="39"/>
      <c r="K602" s="39"/>
      <c r="L602" s="100"/>
      <c r="N602" s="39"/>
      <c r="O602" s="39"/>
      <c r="P602" s="39"/>
      <c r="Q602" s="39"/>
      <c r="R602" s="39"/>
      <c r="S602" s="39"/>
      <c r="T602" s="39"/>
      <c r="U602" s="39"/>
      <c r="V602" s="39"/>
      <c r="W602" s="39"/>
      <c r="Y602" s="39"/>
      <c r="Z602" s="39"/>
      <c r="AA602" s="39"/>
      <c r="AB602" s="39"/>
      <c r="AC602" s="39"/>
      <c r="AD602" s="39"/>
      <c r="AE602" s="39"/>
      <c r="AF602" s="39"/>
      <c r="AG602" s="39"/>
      <c r="AH602" s="39"/>
      <c r="AI602" s="39"/>
      <c r="AJ602" s="423"/>
      <c r="AK602" s="39"/>
      <c r="AL602" s="423"/>
      <c r="AM602" s="39"/>
      <c r="AN602" s="39"/>
      <c r="AO602" s="39"/>
      <c r="AP602" s="39"/>
    </row>
    <row r="603" spans="2:42">
      <c r="B603" s="39"/>
      <c r="C603" s="39"/>
      <c r="D603" s="39"/>
      <c r="E603" s="39"/>
      <c r="F603" s="39"/>
      <c r="G603" s="39"/>
      <c r="H603" s="39"/>
      <c r="I603" s="39"/>
      <c r="J603" s="39"/>
      <c r="K603" s="39"/>
      <c r="L603" s="100"/>
      <c r="N603" s="39"/>
      <c r="O603" s="39"/>
      <c r="P603" s="39"/>
      <c r="Q603" s="39"/>
      <c r="R603" s="39"/>
      <c r="S603" s="39"/>
      <c r="T603" s="39"/>
      <c r="U603" s="39"/>
      <c r="V603" s="39"/>
      <c r="W603" s="39"/>
      <c r="Y603" s="39"/>
      <c r="Z603" s="39"/>
      <c r="AA603" s="39"/>
      <c r="AB603" s="39"/>
      <c r="AC603" s="39"/>
      <c r="AD603" s="39"/>
      <c r="AE603" s="39"/>
      <c r="AF603" s="39"/>
      <c r="AG603" s="39"/>
      <c r="AH603" s="39"/>
      <c r="AI603" s="39"/>
      <c r="AJ603" s="423"/>
      <c r="AK603" s="39"/>
      <c r="AL603" s="423"/>
      <c r="AM603" s="39"/>
      <c r="AN603" s="39"/>
      <c r="AO603" s="39"/>
      <c r="AP603" s="39"/>
    </row>
    <row r="604" spans="2:42">
      <c r="B604" s="39"/>
      <c r="C604" s="39"/>
      <c r="D604" s="39"/>
      <c r="E604" s="39"/>
      <c r="F604" s="39"/>
      <c r="G604" s="39"/>
      <c r="H604" s="39"/>
      <c r="I604" s="39"/>
      <c r="J604" s="39"/>
      <c r="K604" s="39"/>
      <c r="L604" s="100"/>
      <c r="N604" s="39"/>
      <c r="O604" s="39"/>
      <c r="P604" s="39"/>
      <c r="Q604" s="39"/>
      <c r="R604" s="39"/>
      <c r="S604" s="39"/>
      <c r="T604" s="39"/>
      <c r="U604" s="39"/>
      <c r="V604" s="39"/>
      <c r="W604" s="39"/>
      <c r="Y604" s="39"/>
      <c r="Z604" s="39"/>
      <c r="AA604" s="39"/>
      <c r="AB604" s="39"/>
      <c r="AC604" s="39"/>
      <c r="AD604" s="39"/>
      <c r="AE604" s="39"/>
      <c r="AF604" s="39"/>
      <c r="AG604" s="39"/>
      <c r="AH604" s="39"/>
      <c r="AI604" s="39"/>
      <c r="AJ604" s="423"/>
      <c r="AK604" s="39"/>
      <c r="AL604" s="423"/>
      <c r="AM604" s="39"/>
      <c r="AN604" s="39"/>
      <c r="AO604" s="39"/>
      <c r="AP604" s="39"/>
    </row>
    <row r="605" spans="2:42">
      <c r="B605" s="39"/>
      <c r="C605" s="39"/>
      <c r="D605" s="39"/>
      <c r="E605" s="39"/>
      <c r="F605" s="39"/>
      <c r="G605" s="39"/>
      <c r="H605" s="39"/>
      <c r="I605" s="39"/>
      <c r="J605" s="39"/>
      <c r="K605" s="39"/>
      <c r="L605" s="100"/>
      <c r="N605" s="39"/>
      <c r="O605" s="39"/>
      <c r="P605" s="39"/>
      <c r="Q605" s="39"/>
      <c r="R605" s="39"/>
      <c r="S605" s="39"/>
      <c r="T605" s="39"/>
      <c r="U605" s="39"/>
      <c r="V605" s="39"/>
      <c r="W605" s="39"/>
      <c r="Y605" s="39"/>
      <c r="Z605" s="39"/>
      <c r="AA605" s="39"/>
      <c r="AB605" s="39"/>
      <c r="AC605" s="39"/>
      <c r="AD605" s="39"/>
      <c r="AE605" s="39"/>
      <c r="AF605" s="39"/>
      <c r="AG605" s="39"/>
      <c r="AH605" s="39"/>
      <c r="AI605" s="39"/>
      <c r="AJ605" s="423"/>
      <c r="AK605" s="39"/>
      <c r="AL605" s="423"/>
      <c r="AM605" s="39"/>
      <c r="AN605" s="39"/>
      <c r="AO605" s="39"/>
      <c r="AP605" s="39"/>
    </row>
    <row r="606" spans="2:42">
      <c r="B606" s="39"/>
      <c r="C606" s="39"/>
      <c r="D606" s="39"/>
      <c r="E606" s="39"/>
      <c r="F606" s="39"/>
      <c r="G606" s="39"/>
      <c r="H606" s="39"/>
      <c r="I606" s="39"/>
      <c r="J606" s="39"/>
      <c r="K606" s="39"/>
      <c r="L606" s="100"/>
      <c r="N606" s="39"/>
      <c r="O606" s="39"/>
      <c r="P606" s="39"/>
      <c r="Q606" s="39"/>
      <c r="R606" s="39"/>
      <c r="S606" s="39"/>
      <c r="T606" s="39"/>
      <c r="U606" s="39"/>
      <c r="V606" s="39"/>
      <c r="W606" s="39"/>
      <c r="Y606" s="39"/>
      <c r="Z606" s="39"/>
      <c r="AA606" s="39"/>
      <c r="AB606" s="39"/>
      <c r="AC606" s="39"/>
      <c r="AD606" s="39"/>
      <c r="AE606" s="39"/>
      <c r="AF606" s="39"/>
      <c r="AG606" s="39"/>
      <c r="AH606" s="39"/>
      <c r="AI606" s="39"/>
      <c r="AJ606" s="423"/>
      <c r="AK606" s="39"/>
      <c r="AL606" s="423"/>
      <c r="AM606" s="39"/>
      <c r="AN606" s="39"/>
      <c r="AO606" s="39"/>
      <c r="AP606" s="39"/>
    </row>
    <row r="607" spans="2:42">
      <c r="B607" s="39"/>
      <c r="C607" s="39"/>
      <c r="D607" s="39"/>
      <c r="E607" s="39"/>
      <c r="F607" s="39"/>
      <c r="G607" s="39"/>
      <c r="H607" s="39"/>
      <c r="I607" s="39"/>
      <c r="J607" s="39"/>
      <c r="K607" s="39"/>
      <c r="L607" s="100"/>
      <c r="N607" s="39"/>
      <c r="O607" s="39"/>
      <c r="P607" s="39"/>
      <c r="Q607" s="39"/>
      <c r="R607" s="39"/>
      <c r="S607" s="39"/>
      <c r="T607" s="39"/>
      <c r="U607" s="39"/>
      <c r="V607" s="39"/>
      <c r="W607" s="39"/>
      <c r="Y607" s="39"/>
      <c r="Z607" s="39"/>
      <c r="AA607" s="39"/>
      <c r="AB607" s="39"/>
      <c r="AC607" s="39"/>
      <c r="AD607" s="39"/>
      <c r="AE607" s="39"/>
      <c r="AF607" s="39"/>
      <c r="AG607" s="39"/>
      <c r="AH607" s="39"/>
      <c r="AI607" s="39"/>
      <c r="AJ607" s="423"/>
      <c r="AK607" s="39"/>
      <c r="AL607" s="423"/>
      <c r="AM607" s="39"/>
      <c r="AN607" s="39"/>
      <c r="AO607" s="39"/>
      <c r="AP607" s="39"/>
    </row>
    <row r="608" spans="2:42">
      <c r="B608" s="39"/>
      <c r="C608" s="39"/>
      <c r="D608" s="39"/>
      <c r="E608" s="39"/>
      <c r="F608" s="39"/>
      <c r="G608" s="39"/>
      <c r="H608" s="39"/>
      <c r="I608" s="39"/>
      <c r="J608" s="39"/>
      <c r="K608" s="39"/>
      <c r="L608" s="100"/>
      <c r="N608" s="39"/>
      <c r="O608" s="39"/>
      <c r="P608" s="39"/>
      <c r="Q608" s="39"/>
      <c r="R608" s="39"/>
      <c r="S608" s="39"/>
      <c r="T608" s="39"/>
      <c r="U608" s="39"/>
      <c r="V608" s="39"/>
      <c r="W608" s="39"/>
      <c r="Y608" s="39"/>
      <c r="Z608" s="39"/>
      <c r="AA608" s="39"/>
      <c r="AB608" s="39"/>
      <c r="AC608" s="39"/>
      <c r="AD608" s="39"/>
      <c r="AE608" s="39"/>
      <c r="AF608" s="39"/>
      <c r="AG608" s="39"/>
      <c r="AH608" s="39"/>
      <c r="AI608" s="39"/>
      <c r="AJ608" s="423"/>
      <c r="AK608" s="39"/>
      <c r="AL608" s="423"/>
      <c r="AM608" s="39"/>
      <c r="AN608" s="39"/>
      <c r="AO608" s="39"/>
      <c r="AP608" s="39"/>
    </row>
    <row r="609" spans="2:42">
      <c r="B609" s="39"/>
      <c r="C609" s="39"/>
      <c r="D609" s="39"/>
      <c r="E609" s="39"/>
      <c r="F609" s="39"/>
      <c r="G609" s="39"/>
      <c r="H609" s="39"/>
      <c r="I609" s="39"/>
      <c r="J609" s="39"/>
      <c r="K609" s="39"/>
      <c r="L609" s="100"/>
      <c r="N609" s="39"/>
      <c r="O609" s="39"/>
      <c r="P609" s="39"/>
      <c r="Q609" s="39"/>
      <c r="R609" s="39"/>
      <c r="S609" s="39"/>
      <c r="T609" s="39"/>
      <c r="U609" s="39"/>
      <c r="V609" s="39"/>
      <c r="W609" s="39"/>
      <c r="Y609" s="39"/>
      <c r="Z609" s="39"/>
      <c r="AA609" s="39"/>
      <c r="AB609" s="39"/>
      <c r="AC609" s="39"/>
      <c r="AD609" s="39"/>
      <c r="AE609" s="39"/>
      <c r="AF609" s="39"/>
      <c r="AG609" s="39"/>
      <c r="AH609" s="39"/>
      <c r="AI609" s="39"/>
      <c r="AJ609" s="423"/>
      <c r="AK609" s="39"/>
      <c r="AL609" s="423"/>
      <c r="AM609" s="39"/>
      <c r="AN609" s="39"/>
      <c r="AO609" s="39"/>
      <c r="AP609" s="39"/>
    </row>
    <row r="610" spans="2:42">
      <c r="B610" s="39"/>
      <c r="C610" s="39"/>
      <c r="D610" s="39"/>
      <c r="E610" s="39"/>
      <c r="F610" s="39"/>
      <c r="G610" s="39"/>
      <c r="H610" s="39"/>
      <c r="I610" s="39"/>
      <c r="J610" s="39"/>
      <c r="K610" s="39"/>
      <c r="L610" s="100"/>
      <c r="N610" s="39"/>
      <c r="O610" s="39"/>
      <c r="P610" s="39"/>
      <c r="Q610" s="39"/>
      <c r="R610" s="39"/>
      <c r="S610" s="39"/>
      <c r="T610" s="39"/>
      <c r="U610" s="39"/>
      <c r="V610" s="39"/>
      <c r="W610" s="39"/>
      <c r="Y610" s="39"/>
      <c r="Z610" s="39"/>
      <c r="AA610" s="39"/>
      <c r="AB610" s="39"/>
      <c r="AC610" s="39"/>
      <c r="AD610" s="39"/>
      <c r="AE610" s="39"/>
      <c r="AF610" s="39"/>
      <c r="AG610" s="39"/>
      <c r="AH610" s="39"/>
      <c r="AI610" s="39"/>
      <c r="AJ610" s="423"/>
      <c r="AK610" s="39"/>
      <c r="AL610" s="423"/>
      <c r="AM610" s="39"/>
      <c r="AN610" s="39"/>
      <c r="AO610" s="39"/>
      <c r="AP610" s="39"/>
    </row>
    <row r="611" spans="2:42">
      <c r="B611" s="39"/>
      <c r="C611" s="39"/>
      <c r="D611" s="39"/>
      <c r="E611" s="39"/>
      <c r="F611" s="39"/>
      <c r="G611" s="39"/>
      <c r="H611" s="39"/>
      <c r="I611" s="39"/>
      <c r="J611" s="39"/>
      <c r="K611" s="39"/>
      <c r="L611" s="100"/>
      <c r="N611" s="39"/>
      <c r="O611" s="39"/>
      <c r="P611" s="39"/>
      <c r="Q611" s="39"/>
      <c r="R611" s="39"/>
      <c r="S611" s="39"/>
      <c r="T611" s="39"/>
      <c r="U611" s="39"/>
      <c r="V611" s="39"/>
      <c r="W611" s="39"/>
      <c r="Y611" s="39"/>
      <c r="Z611" s="39"/>
      <c r="AA611" s="39"/>
      <c r="AB611" s="39"/>
      <c r="AC611" s="39"/>
      <c r="AD611" s="39"/>
      <c r="AE611" s="39"/>
      <c r="AF611" s="39"/>
      <c r="AG611" s="39"/>
      <c r="AH611" s="39"/>
      <c r="AI611" s="39"/>
      <c r="AJ611" s="423"/>
      <c r="AK611" s="39"/>
      <c r="AL611" s="423"/>
      <c r="AM611" s="39"/>
      <c r="AN611" s="39"/>
      <c r="AO611" s="39"/>
      <c r="AP611" s="39"/>
    </row>
    <row r="612" spans="2:42">
      <c r="B612" s="39"/>
      <c r="C612" s="39"/>
      <c r="D612" s="39"/>
      <c r="E612" s="39"/>
      <c r="F612" s="39"/>
      <c r="G612" s="39"/>
      <c r="H612" s="39"/>
      <c r="I612" s="39"/>
      <c r="J612" s="39"/>
      <c r="K612" s="39"/>
      <c r="L612" s="100"/>
      <c r="N612" s="39"/>
      <c r="O612" s="39"/>
      <c r="P612" s="39"/>
      <c r="Q612" s="39"/>
      <c r="R612" s="39"/>
      <c r="S612" s="39"/>
      <c r="T612" s="39"/>
      <c r="U612" s="39"/>
      <c r="V612" s="39"/>
      <c r="W612" s="39"/>
      <c r="Y612" s="39"/>
      <c r="Z612" s="39"/>
      <c r="AA612" s="39"/>
      <c r="AB612" s="39"/>
      <c r="AC612" s="39"/>
      <c r="AD612" s="39"/>
      <c r="AE612" s="39"/>
      <c r="AF612" s="39"/>
      <c r="AG612" s="39"/>
      <c r="AH612" s="39"/>
      <c r="AI612" s="39"/>
      <c r="AJ612" s="423"/>
      <c r="AK612" s="39"/>
      <c r="AL612" s="423"/>
      <c r="AM612" s="39"/>
      <c r="AN612" s="39"/>
      <c r="AO612" s="39"/>
      <c r="AP612" s="39"/>
    </row>
    <row r="613" spans="2:42">
      <c r="B613" s="39"/>
      <c r="C613" s="39"/>
      <c r="D613" s="39"/>
      <c r="E613" s="39"/>
      <c r="F613" s="39"/>
      <c r="G613" s="39"/>
      <c r="H613" s="39"/>
      <c r="I613" s="39"/>
      <c r="J613" s="39"/>
      <c r="K613" s="39"/>
      <c r="L613" s="100"/>
      <c r="N613" s="39"/>
      <c r="O613" s="39"/>
      <c r="P613" s="39"/>
      <c r="Q613" s="39"/>
      <c r="R613" s="39"/>
      <c r="S613" s="39"/>
      <c r="T613" s="39"/>
      <c r="U613" s="39"/>
      <c r="V613" s="39"/>
      <c r="W613" s="39"/>
      <c r="Y613" s="39"/>
      <c r="Z613" s="39"/>
      <c r="AA613" s="39"/>
      <c r="AB613" s="39"/>
      <c r="AC613" s="39"/>
      <c r="AD613" s="39"/>
      <c r="AE613" s="39"/>
      <c r="AF613" s="39"/>
      <c r="AG613" s="39"/>
      <c r="AH613" s="39"/>
      <c r="AI613" s="39"/>
      <c r="AJ613" s="423"/>
      <c r="AK613" s="39"/>
      <c r="AL613" s="423"/>
      <c r="AM613" s="39"/>
      <c r="AN613" s="39"/>
      <c r="AO613" s="39"/>
      <c r="AP613" s="39"/>
    </row>
    <row r="614" spans="2:42">
      <c r="B614" s="39"/>
      <c r="C614" s="39"/>
      <c r="D614" s="39"/>
      <c r="E614" s="39"/>
      <c r="F614" s="39"/>
      <c r="G614" s="39"/>
      <c r="H614" s="39"/>
      <c r="I614" s="39"/>
      <c r="J614" s="39"/>
      <c r="K614" s="39"/>
      <c r="L614" s="100"/>
      <c r="N614" s="39"/>
      <c r="O614" s="39"/>
      <c r="P614" s="39"/>
      <c r="Q614" s="39"/>
      <c r="R614" s="39"/>
      <c r="S614" s="39"/>
      <c r="T614" s="39"/>
      <c r="U614" s="39"/>
      <c r="V614" s="39"/>
      <c r="W614" s="39"/>
      <c r="Y614" s="39"/>
      <c r="Z614" s="39"/>
      <c r="AA614" s="39"/>
      <c r="AB614" s="39"/>
      <c r="AC614" s="39"/>
      <c r="AD614" s="39"/>
      <c r="AE614" s="39"/>
      <c r="AF614" s="39"/>
      <c r="AG614" s="39"/>
      <c r="AH614" s="39"/>
      <c r="AI614" s="39"/>
      <c r="AJ614" s="423"/>
      <c r="AK614" s="39"/>
      <c r="AL614" s="423"/>
      <c r="AM614" s="39"/>
      <c r="AN614" s="39"/>
      <c r="AO614" s="39"/>
      <c r="AP614" s="39"/>
    </row>
    <row r="615" spans="2:42">
      <c r="B615" s="39"/>
      <c r="C615" s="39"/>
      <c r="D615" s="39"/>
      <c r="E615" s="39"/>
      <c r="F615" s="39"/>
      <c r="G615" s="39"/>
      <c r="H615" s="39"/>
      <c r="I615" s="39"/>
      <c r="J615" s="39"/>
      <c r="K615" s="39"/>
      <c r="L615" s="100"/>
      <c r="N615" s="39"/>
      <c r="O615" s="39"/>
      <c r="P615" s="39"/>
      <c r="Q615" s="39"/>
      <c r="R615" s="39"/>
      <c r="S615" s="39"/>
      <c r="T615" s="39"/>
      <c r="U615" s="39"/>
      <c r="V615" s="39"/>
      <c r="W615" s="39"/>
      <c r="Y615" s="39"/>
      <c r="Z615" s="39"/>
      <c r="AA615" s="39"/>
      <c r="AB615" s="39"/>
      <c r="AC615" s="39"/>
      <c r="AD615" s="39"/>
      <c r="AE615" s="39"/>
      <c r="AF615" s="39"/>
      <c r="AG615" s="39"/>
      <c r="AH615" s="39"/>
      <c r="AI615" s="39"/>
      <c r="AJ615" s="423"/>
      <c r="AK615" s="39"/>
      <c r="AL615" s="423"/>
      <c r="AM615" s="39"/>
      <c r="AN615" s="39"/>
      <c r="AO615" s="39"/>
      <c r="AP615" s="39"/>
    </row>
    <row r="616" spans="2:42">
      <c r="B616" s="39"/>
      <c r="C616" s="39"/>
      <c r="D616" s="39"/>
      <c r="E616" s="39"/>
      <c r="F616" s="39"/>
      <c r="G616" s="39"/>
      <c r="H616" s="39"/>
      <c r="I616" s="39"/>
      <c r="J616" s="39"/>
      <c r="K616" s="39"/>
      <c r="L616" s="100"/>
      <c r="N616" s="39"/>
      <c r="O616" s="39"/>
      <c r="P616" s="39"/>
      <c r="Q616" s="39"/>
      <c r="R616" s="39"/>
      <c r="S616" s="39"/>
      <c r="T616" s="39"/>
      <c r="U616" s="39"/>
      <c r="V616" s="39"/>
      <c r="W616" s="39"/>
      <c r="Y616" s="39"/>
      <c r="Z616" s="39"/>
      <c r="AA616" s="39"/>
      <c r="AB616" s="39"/>
      <c r="AC616" s="39"/>
      <c r="AD616" s="39"/>
      <c r="AE616" s="39"/>
      <c r="AF616" s="39"/>
      <c r="AG616" s="39"/>
      <c r="AH616" s="39"/>
      <c r="AI616" s="39"/>
      <c r="AJ616" s="423"/>
      <c r="AK616" s="39"/>
      <c r="AL616" s="423"/>
      <c r="AM616" s="39"/>
      <c r="AN616" s="39"/>
      <c r="AO616" s="39"/>
      <c r="AP616" s="39"/>
    </row>
    <row r="617" spans="2:42">
      <c r="B617" s="39"/>
      <c r="C617" s="39"/>
      <c r="D617" s="39"/>
      <c r="E617" s="39"/>
      <c r="F617" s="39"/>
      <c r="G617" s="39"/>
      <c r="H617" s="39"/>
      <c r="I617" s="39"/>
      <c r="J617" s="39"/>
      <c r="K617" s="39"/>
      <c r="L617" s="100"/>
      <c r="N617" s="39"/>
      <c r="O617" s="39"/>
      <c r="P617" s="39"/>
      <c r="Q617" s="39"/>
      <c r="R617" s="39"/>
      <c r="S617" s="39"/>
      <c r="T617" s="39"/>
      <c r="U617" s="39"/>
      <c r="V617" s="39"/>
      <c r="W617" s="39"/>
      <c r="Y617" s="39"/>
      <c r="Z617" s="39"/>
      <c r="AA617" s="39"/>
      <c r="AB617" s="39"/>
      <c r="AC617" s="39"/>
      <c r="AD617" s="39"/>
      <c r="AE617" s="39"/>
      <c r="AF617" s="39"/>
      <c r="AG617" s="39"/>
      <c r="AH617" s="39"/>
      <c r="AI617" s="39"/>
      <c r="AJ617" s="423"/>
      <c r="AK617" s="39"/>
      <c r="AL617" s="423"/>
      <c r="AM617" s="39"/>
      <c r="AN617" s="39"/>
      <c r="AO617" s="39"/>
      <c r="AP617" s="39"/>
    </row>
    <row r="618" spans="2:42">
      <c r="B618" s="39"/>
      <c r="C618" s="39"/>
      <c r="D618" s="39"/>
      <c r="E618" s="39"/>
      <c r="F618" s="39"/>
      <c r="G618" s="39"/>
      <c r="H618" s="39"/>
      <c r="I618" s="39"/>
      <c r="J618" s="39"/>
      <c r="K618" s="39"/>
      <c r="L618" s="100"/>
      <c r="N618" s="39"/>
      <c r="O618" s="39"/>
      <c r="P618" s="39"/>
      <c r="Q618" s="39"/>
      <c r="R618" s="39"/>
      <c r="S618" s="39"/>
      <c r="T618" s="39"/>
      <c r="U618" s="39"/>
      <c r="V618" s="39"/>
      <c r="W618" s="39"/>
      <c r="Y618" s="39"/>
      <c r="Z618" s="39"/>
      <c r="AA618" s="39"/>
      <c r="AB618" s="39"/>
      <c r="AC618" s="39"/>
      <c r="AD618" s="39"/>
      <c r="AE618" s="39"/>
      <c r="AF618" s="39"/>
      <c r="AG618" s="39"/>
      <c r="AH618" s="39"/>
      <c r="AI618" s="39"/>
      <c r="AJ618" s="423"/>
      <c r="AK618" s="39"/>
      <c r="AL618" s="423"/>
      <c r="AM618" s="39"/>
      <c r="AN618" s="39"/>
      <c r="AO618" s="39"/>
      <c r="AP618" s="39"/>
    </row>
    <row r="619" spans="2:42">
      <c r="B619" s="39"/>
      <c r="C619" s="39"/>
      <c r="D619" s="39"/>
      <c r="E619" s="39"/>
      <c r="F619" s="39"/>
      <c r="G619" s="39"/>
      <c r="H619" s="39"/>
      <c r="I619" s="39"/>
      <c r="J619" s="39"/>
      <c r="K619" s="39"/>
      <c r="L619" s="100"/>
      <c r="N619" s="39"/>
      <c r="O619" s="39"/>
      <c r="P619" s="39"/>
      <c r="Q619" s="39"/>
      <c r="R619" s="39"/>
      <c r="S619" s="39"/>
      <c r="T619" s="39"/>
      <c r="U619" s="39"/>
      <c r="V619" s="39"/>
      <c r="W619" s="39"/>
      <c r="Y619" s="39"/>
      <c r="Z619" s="39"/>
      <c r="AA619" s="39"/>
      <c r="AB619" s="39"/>
      <c r="AC619" s="39"/>
      <c r="AD619" s="39"/>
      <c r="AE619" s="39"/>
      <c r="AF619" s="39"/>
      <c r="AG619" s="39"/>
      <c r="AH619" s="39"/>
      <c r="AI619" s="39"/>
      <c r="AJ619" s="423"/>
      <c r="AK619" s="39"/>
      <c r="AL619" s="423"/>
      <c r="AM619" s="39"/>
      <c r="AN619" s="39"/>
      <c r="AO619" s="39"/>
      <c r="AP619" s="39"/>
    </row>
    <row r="620" spans="2:42">
      <c r="B620" s="39"/>
      <c r="C620" s="39"/>
      <c r="D620" s="39"/>
      <c r="E620" s="39"/>
      <c r="F620" s="39"/>
      <c r="G620" s="39"/>
      <c r="H620" s="39"/>
      <c r="I620" s="39"/>
      <c r="J620" s="39"/>
      <c r="K620" s="39"/>
      <c r="L620" s="100"/>
      <c r="N620" s="39"/>
      <c r="O620" s="39"/>
      <c r="P620" s="39"/>
      <c r="Q620" s="39"/>
      <c r="R620" s="39"/>
      <c r="S620" s="39"/>
      <c r="T620" s="39"/>
      <c r="U620" s="39"/>
      <c r="V620" s="39"/>
      <c r="W620" s="39"/>
      <c r="Y620" s="39"/>
      <c r="Z620" s="39"/>
      <c r="AA620" s="39"/>
      <c r="AB620" s="39"/>
      <c r="AC620" s="39"/>
      <c r="AD620" s="39"/>
      <c r="AE620" s="39"/>
      <c r="AF620" s="39"/>
      <c r="AG620" s="39"/>
      <c r="AH620" s="39"/>
      <c r="AI620" s="39"/>
      <c r="AJ620" s="423"/>
      <c r="AK620" s="39"/>
      <c r="AL620" s="423"/>
      <c r="AM620" s="39"/>
      <c r="AN620" s="39"/>
      <c r="AO620" s="39"/>
      <c r="AP620" s="39"/>
    </row>
    <row r="621" spans="2:42">
      <c r="B621" s="39"/>
      <c r="C621" s="39"/>
      <c r="D621" s="39"/>
      <c r="E621" s="39"/>
      <c r="F621" s="39"/>
      <c r="G621" s="39"/>
      <c r="H621" s="39"/>
      <c r="I621" s="39"/>
      <c r="J621" s="39"/>
      <c r="K621" s="39"/>
      <c r="L621" s="100"/>
      <c r="N621" s="39"/>
      <c r="O621" s="39"/>
      <c r="P621" s="39"/>
      <c r="Q621" s="39"/>
      <c r="R621" s="39"/>
      <c r="S621" s="39"/>
      <c r="T621" s="39"/>
      <c r="U621" s="39"/>
      <c r="V621" s="39"/>
      <c r="W621" s="39"/>
      <c r="Y621" s="39"/>
      <c r="Z621" s="39"/>
      <c r="AA621" s="39"/>
      <c r="AB621" s="39"/>
      <c r="AC621" s="39"/>
      <c r="AD621" s="39"/>
      <c r="AE621" s="39"/>
      <c r="AF621" s="39"/>
      <c r="AG621" s="39"/>
      <c r="AH621" s="39"/>
      <c r="AI621" s="39"/>
      <c r="AJ621" s="423"/>
      <c r="AK621" s="39"/>
      <c r="AL621" s="423"/>
      <c r="AM621" s="39"/>
      <c r="AN621" s="39"/>
      <c r="AO621" s="39"/>
      <c r="AP621" s="39"/>
    </row>
    <row r="622" spans="2:42">
      <c r="B622" s="39"/>
      <c r="C622" s="39"/>
      <c r="D622" s="39"/>
      <c r="E622" s="39"/>
      <c r="F622" s="39"/>
      <c r="G622" s="39"/>
      <c r="H622" s="39"/>
      <c r="I622" s="39"/>
      <c r="J622" s="39"/>
      <c r="K622" s="39"/>
      <c r="L622" s="100"/>
      <c r="N622" s="39"/>
      <c r="O622" s="39"/>
      <c r="P622" s="39"/>
      <c r="Q622" s="39"/>
      <c r="R622" s="39"/>
      <c r="S622" s="39"/>
      <c r="T622" s="39"/>
      <c r="U622" s="39"/>
      <c r="V622" s="39"/>
      <c r="W622" s="39"/>
      <c r="Y622" s="39"/>
      <c r="Z622" s="39"/>
      <c r="AA622" s="39"/>
      <c r="AB622" s="39"/>
      <c r="AC622" s="39"/>
      <c r="AD622" s="39"/>
      <c r="AE622" s="39"/>
      <c r="AF622" s="39"/>
      <c r="AG622" s="39"/>
      <c r="AH622" s="39"/>
      <c r="AI622" s="39"/>
      <c r="AJ622" s="423"/>
      <c r="AK622" s="39"/>
      <c r="AL622" s="423"/>
      <c r="AM622" s="39"/>
      <c r="AN622" s="39"/>
      <c r="AO622" s="39"/>
      <c r="AP622" s="39"/>
    </row>
    <row r="623" spans="2:42">
      <c r="B623" s="39"/>
      <c r="C623" s="39"/>
      <c r="D623" s="39"/>
      <c r="E623" s="39"/>
      <c r="F623" s="39"/>
      <c r="G623" s="39"/>
      <c r="H623" s="39"/>
      <c r="I623" s="39"/>
      <c r="J623" s="39"/>
      <c r="K623" s="39"/>
      <c r="L623" s="100"/>
      <c r="N623" s="39"/>
      <c r="O623" s="39"/>
      <c r="P623" s="39"/>
      <c r="Q623" s="39"/>
      <c r="R623" s="39"/>
      <c r="S623" s="39"/>
      <c r="T623" s="39"/>
      <c r="U623" s="39"/>
      <c r="V623" s="39"/>
      <c r="W623" s="39"/>
      <c r="Y623" s="39"/>
      <c r="Z623" s="39"/>
      <c r="AA623" s="39"/>
      <c r="AB623" s="39"/>
      <c r="AC623" s="39"/>
      <c r="AD623" s="39"/>
      <c r="AE623" s="39"/>
      <c r="AF623" s="39"/>
      <c r="AG623" s="39"/>
      <c r="AH623" s="39"/>
      <c r="AI623" s="39"/>
      <c r="AJ623" s="423"/>
      <c r="AK623" s="39"/>
      <c r="AL623" s="423"/>
      <c r="AM623" s="39"/>
      <c r="AN623" s="39"/>
      <c r="AO623" s="39"/>
      <c r="AP623" s="39"/>
    </row>
    <row r="624" spans="2:42">
      <c r="B624" s="39"/>
      <c r="C624" s="39"/>
      <c r="D624" s="39"/>
      <c r="E624" s="39"/>
      <c r="F624" s="39"/>
      <c r="G624" s="39"/>
      <c r="H624" s="39"/>
      <c r="I624" s="39"/>
      <c r="J624" s="39"/>
      <c r="K624" s="39"/>
      <c r="L624" s="100"/>
      <c r="N624" s="39"/>
      <c r="O624" s="39"/>
      <c r="P624" s="39"/>
      <c r="Q624" s="39"/>
      <c r="R624" s="39"/>
      <c r="S624" s="39"/>
      <c r="T624" s="39"/>
      <c r="U624" s="39"/>
      <c r="V624" s="39"/>
      <c r="W624" s="39"/>
      <c r="Y624" s="39"/>
      <c r="Z624" s="39"/>
      <c r="AA624" s="39"/>
      <c r="AB624" s="39"/>
      <c r="AC624" s="39"/>
      <c r="AD624" s="39"/>
      <c r="AE624" s="39"/>
      <c r="AF624" s="39"/>
      <c r="AG624" s="39"/>
      <c r="AH624" s="39"/>
      <c r="AI624" s="39"/>
      <c r="AJ624" s="423"/>
      <c r="AK624" s="39"/>
      <c r="AL624" s="423"/>
      <c r="AM624" s="39"/>
      <c r="AN624" s="39"/>
      <c r="AO624" s="39"/>
      <c r="AP624" s="39"/>
    </row>
    <row r="625" spans="2:42">
      <c r="B625" s="39"/>
      <c r="C625" s="39"/>
      <c r="D625" s="39"/>
      <c r="E625" s="39"/>
      <c r="F625" s="39"/>
      <c r="G625" s="39"/>
      <c r="H625" s="39"/>
      <c r="I625" s="39"/>
      <c r="J625" s="39"/>
      <c r="K625" s="39"/>
      <c r="L625" s="100"/>
      <c r="N625" s="39"/>
      <c r="O625" s="39"/>
      <c r="P625" s="39"/>
      <c r="Q625" s="39"/>
      <c r="R625" s="39"/>
      <c r="S625" s="39"/>
      <c r="T625" s="39"/>
      <c r="U625" s="39"/>
      <c r="V625" s="39"/>
      <c r="W625" s="39"/>
      <c r="Y625" s="39"/>
      <c r="Z625" s="39"/>
      <c r="AA625" s="39"/>
      <c r="AB625" s="39"/>
      <c r="AC625" s="39"/>
      <c r="AD625" s="39"/>
      <c r="AE625" s="39"/>
      <c r="AF625" s="39"/>
      <c r="AG625" s="39"/>
      <c r="AH625" s="39"/>
      <c r="AI625" s="39"/>
      <c r="AJ625" s="423"/>
      <c r="AK625" s="39"/>
      <c r="AL625" s="423"/>
      <c r="AM625" s="39"/>
      <c r="AN625" s="39"/>
      <c r="AO625" s="39"/>
      <c r="AP625" s="39"/>
    </row>
    <row r="626" spans="2:42">
      <c r="B626" s="39"/>
      <c r="C626" s="39"/>
      <c r="D626" s="39"/>
      <c r="E626" s="39"/>
      <c r="F626" s="39"/>
      <c r="G626" s="39"/>
      <c r="H626" s="39"/>
      <c r="I626" s="39"/>
      <c r="J626" s="39"/>
      <c r="K626" s="39"/>
      <c r="L626" s="100"/>
      <c r="N626" s="39"/>
      <c r="O626" s="39"/>
      <c r="P626" s="39"/>
      <c r="Q626" s="39"/>
      <c r="R626" s="39"/>
      <c r="S626" s="39"/>
      <c r="T626" s="39"/>
      <c r="U626" s="39"/>
      <c r="V626" s="39"/>
      <c r="W626" s="39"/>
      <c r="Y626" s="39"/>
      <c r="Z626" s="39"/>
      <c r="AA626" s="39"/>
      <c r="AB626" s="39"/>
      <c r="AC626" s="39"/>
      <c r="AD626" s="39"/>
      <c r="AE626" s="39"/>
      <c r="AF626" s="39"/>
      <c r="AG626" s="39"/>
      <c r="AH626" s="39"/>
      <c r="AI626" s="39"/>
      <c r="AJ626" s="423"/>
      <c r="AK626" s="39"/>
      <c r="AL626" s="423"/>
      <c r="AM626" s="39"/>
      <c r="AN626" s="39"/>
      <c r="AO626" s="39"/>
      <c r="AP626" s="39"/>
    </row>
    <row r="627" spans="2:42">
      <c r="B627" s="39"/>
      <c r="C627" s="39"/>
      <c r="D627" s="39"/>
      <c r="E627" s="39"/>
      <c r="F627" s="39"/>
      <c r="G627" s="39"/>
      <c r="H627" s="39"/>
      <c r="I627" s="39"/>
      <c r="J627" s="39"/>
      <c r="K627" s="39"/>
      <c r="L627" s="100"/>
      <c r="N627" s="39"/>
      <c r="O627" s="39"/>
      <c r="P627" s="39"/>
      <c r="Q627" s="39"/>
      <c r="R627" s="39"/>
      <c r="S627" s="39"/>
      <c r="T627" s="39"/>
      <c r="U627" s="39"/>
      <c r="V627" s="39"/>
      <c r="W627" s="39"/>
      <c r="Y627" s="39"/>
      <c r="Z627" s="39"/>
      <c r="AA627" s="39"/>
      <c r="AB627" s="39"/>
      <c r="AC627" s="39"/>
      <c r="AD627" s="39"/>
      <c r="AE627" s="39"/>
      <c r="AF627" s="39"/>
      <c r="AG627" s="39"/>
      <c r="AH627" s="39"/>
      <c r="AI627" s="39"/>
      <c r="AJ627" s="423"/>
      <c r="AK627" s="39"/>
      <c r="AL627" s="423"/>
      <c r="AM627" s="39"/>
      <c r="AN627" s="39"/>
      <c r="AO627" s="39"/>
      <c r="AP627" s="39"/>
    </row>
    <row r="628" spans="2:42">
      <c r="B628" s="39"/>
      <c r="C628" s="39"/>
      <c r="D628" s="39"/>
      <c r="E628" s="39"/>
      <c r="F628" s="39"/>
      <c r="G628" s="39"/>
      <c r="H628" s="39"/>
      <c r="I628" s="39"/>
      <c r="J628" s="39"/>
      <c r="K628" s="39"/>
      <c r="L628" s="100"/>
      <c r="N628" s="39"/>
      <c r="O628" s="39"/>
      <c r="P628" s="39"/>
      <c r="Q628" s="39"/>
      <c r="R628" s="39"/>
      <c r="S628" s="39"/>
      <c r="T628" s="39"/>
      <c r="U628" s="39"/>
      <c r="V628" s="39"/>
      <c r="W628" s="39"/>
      <c r="Y628" s="39"/>
      <c r="Z628" s="39"/>
      <c r="AA628" s="39"/>
      <c r="AB628" s="39"/>
      <c r="AC628" s="39"/>
      <c r="AD628" s="39"/>
      <c r="AE628" s="39"/>
      <c r="AF628" s="39"/>
      <c r="AG628" s="39"/>
      <c r="AH628" s="39"/>
      <c r="AI628" s="39"/>
      <c r="AJ628" s="423"/>
      <c r="AK628" s="39"/>
      <c r="AL628" s="423"/>
      <c r="AM628" s="39"/>
      <c r="AN628" s="39"/>
      <c r="AO628" s="39"/>
      <c r="AP628" s="39"/>
    </row>
    <row r="629" spans="2:42">
      <c r="B629" s="39"/>
      <c r="C629" s="39"/>
      <c r="D629" s="39"/>
      <c r="E629" s="39"/>
      <c r="F629" s="39"/>
      <c r="G629" s="39"/>
      <c r="H629" s="39"/>
      <c r="I629" s="39"/>
      <c r="J629" s="39"/>
      <c r="K629" s="39"/>
      <c r="L629" s="100"/>
      <c r="N629" s="39"/>
      <c r="O629" s="39"/>
      <c r="P629" s="39"/>
      <c r="Q629" s="39"/>
      <c r="R629" s="39"/>
      <c r="S629" s="39"/>
      <c r="T629" s="39"/>
      <c r="U629" s="39"/>
      <c r="V629" s="39"/>
      <c r="W629" s="39"/>
      <c r="Y629" s="39"/>
      <c r="Z629" s="39"/>
      <c r="AA629" s="39"/>
      <c r="AB629" s="39"/>
      <c r="AC629" s="39"/>
      <c r="AD629" s="39"/>
      <c r="AE629" s="39"/>
      <c r="AF629" s="39"/>
      <c r="AG629" s="39"/>
      <c r="AH629" s="39"/>
      <c r="AI629" s="39"/>
      <c r="AJ629" s="423"/>
      <c r="AK629" s="39"/>
      <c r="AL629" s="423"/>
      <c r="AM629" s="39"/>
      <c r="AN629" s="39"/>
      <c r="AO629" s="39"/>
      <c r="AP629" s="39"/>
    </row>
    <row r="630" spans="2:42">
      <c r="B630" s="39"/>
      <c r="C630" s="39"/>
      <c r="D630" s="39"/>
      <c r="E630" s="39"/>
      <c r="F630" s="39"/>
      <c r="G630" s="39"/>
      <c r="H630" s="39"/>
      <c r="I630" s="39"/>
      <c r="J630" s="39"/>
      <c r="K630" s="39"/>
      <c r="L630" s="100"/>
      <c r="N630" s="39"/>
      <c r="O630" s="39"/>
      <c r="P630" s="39"/>
      <c r="Q630" s="39"/>
      <c r="R630" s="39"/>
      <c r="S630" s="39"/>
      <c r="T630" s="39"/>
      <c r="U630" s="39"/>
      <c r="V630" s="39"/>
      <c r="W630" s="39"/>
      <c r="Y630" s="39"/>
      <c r="Z630" s="39"/>
      <c r="AA630" s="39"/>
      <c r="AB630" s="39"/>
      <c r="AC630" s="39"/>
      <c r="AD630" s="39"/>
      <c r="AE630" s="39"/>
      <c r="AF630" s="39"/>
      <c r="AG630" s="39"/>
      <c r="AH630" s="39"/>
      <c r="AI630" s="39"/>
      <c r="AJ630" s="423"/>
      <c r="AK630" s="39"/>
      <c r="AL630" s="423"/>
      <c r="AM630" s="39"/>
      <c r="AN630" s="39"/>
      <c r="AO630" s="39"/>
      <c r="AP630" s="39"/>
    </row>
    <row r="631" spans="2:42">
      <c r="B631" s="39"/>
      <c r="C631" s="39"/>
      <c r="D631" s="39"/>
      <c r="E631" s="39"/>
      <c r="F631" s="39"/>
      <c r="G631" s="39"/>
      <c r="H631" s="39"/>
      <c r="I631" s="39"/>
      <c r="J631" s="39"/>
      <c r="K631" s="39"/>
      <c r="L631" s="100"/>
      <c r="N631" s="39"/>
      <c r="O631" s="39"/>
      <c r="P631" s="39"/>
      <c r="Q631" s="39"/>
      <c r="R631" s="39"/>
      <c r="S631" s="39"/>
      <c r="T631" s="39"/>
      <c r="U631" s="39"/>
      <c r="V631" s="39"/>
      <c r="W631" s="39"/>
      <c r="Y631" s="39"/>
      <c r="Z631" s="39"/>
      <c r="AA631" s="39"/>
      <c r="AB631" s="39"/>
      <c r="AC631" s="39"/>
      <c r="AD631" s="39"/>
      <c r="AE631" s="39"/>
      <c r="AF631" s="39"/>
      <c r="AG631" s="39"/>
      <c r="AH631" s="39"/>
      <c r="AI631" s="39"/>
      <c r="AJ631" s="423"/>
      <c r="AK631" s="39"/>
      <c r="AL631" s="423"/>
      <c r="AM631" s="39"/>
      <c r="AN631" s="39"/>
      <c r="AO631" s="39"/>
      <c r="AP631" s="39"/>
    </row>
    <row r="632" spans="2:42">
      <c r="B632" s="39"/>
      <c r="C632" s="39"/>
      <c r="D632" s="39"/>
      <c r="E632" s="39"/>
      <c r="F632" s="39"/>
      <c r="G632" s="39"/>
      <c r="H632" s="39"/>
      <c r="I632" s="39"/>
      <c r="J632" s="39"/>
      <c r="K632" s="39"/>
      <c r="L632" s="100"/>
      <c r="N632" s="39"/>
      <c r="O632" s="39"/>
      <c r="P632" s="39"/>
      <c r="Q632" s="39"/>
      <c r="R632" s="39"/>
      <c r="S632" s="39"/>
      <c r="T632" s="39"/>
      <c r="U632" s="39"/>
      <c r="V632" s="39"/>
      <c r="W632" s="39"/>
      <c r="Y632" s="39"/>
      <c r="Z632" s="39"/>
      <c r="AA632" s="39"/>
      <c r="AB632" s="39"/>
      <c r="AC632" s="39"/>
      <c r="AD632" s="39"/>
      <c r="AE632" s="39"/>
      <c r="AF632" s="39"/>
      <c r="AG632" s="39"/>
      <c r="AH632" s="39"/>
      <c r="AI632" s="39"/>
      <c r="AJ632" s="423"/>
      <c r="AK632" s="39"/>
      <c r="AL632" s="423"/>
      <c r="AM632" s="39"/>
      <c r="AN632" s="39"/>
      <c r="AO632" s="39"/>
      <c r="AP632" s="39"/>
    </row>
    <row r="633" spans="2:42">
      <c r="B633" s="39"/>
      <c r="C633" s="39"/>
      <c r="D633" s="39"/>
      <c r="E633" s="39"/>
      <c r="F633" s="39"/>
      <c r="G633" s="39"/>
      <c r="H633" s="39"/>
      <c r="I633" s="39"/>
      <c r="J633" s="39"/>
      <c r="K633" s="39"/>
      <c r="L633" s="100"/>
      <c r="N633" s="39"/>
      <c r="O633" s="39"/>
      <c r="P633" s="39"/>
      <c r="Q633" s="39"/>
      <c r="R633" s="39"/>
      <c r="S633" s="39"/>
      <c r="T633" s="39"/>
      <c r="U633" s="39"/>
      <c r="V633" s="39"/>
      <c r="W633" s="39"/>
      <c r="Y633" s="39"/>
      <c r="Z633" s="39"/>
      <c r="AA633" s="39"/>
      <c r="AB633" s="39"/>
      <c r="AC633" s="39"/>
      <c r="AD633" s="39"/>
      <c r="AE633" s="39"/>
      <c r="AF633" s="39"/>
      <c r="AG633" s="39"/>
      <c r="AH633" s="39"/>
      <c r="AI633" s="39"/>
      <c r="AJ633" s="423"/>
      <c r="AK633" s="39"/>
      <c r="AL633" s="423"/>
      <c r="AM633" s="39"/>
      <c r="AN633" s="39"/>
      <c r="AO633" s="39"/>
      <c r="AP633" s="39"/>
    </row>
    <row r="634" spans="2:42">
      <c r="B634" s="39"/>
      <c r="C634" s="39"/>
      <c r="D634" s="39"/>
      <c r="E634" s="39"/>
      <c r="F634" s="39"/>
      <c r="G634" s="39"/>
      <c r="H634" s="39"/>
      <c r="I634" s="39"/>
      <c r="J634" s="39"/>
      <c r="K634" s="39"/>
      <c r="L634" s="100"/>
      <c r="N634" s="39"/>
      <c r="O634" s="39"/>
      <c r="P634" s="39"/>
      <c r="Q634" s="39"/>
      <c r="R634" s="39"/>
      <c r="S634" s="39"/>
      <c r="T634" s="39"/>
      <c r="U634" s="39"/>
      <c r="V634" s="39"/>
      <c r="W634" s="39"/>
      <c r="Y634" s="39"/>
      <c r="Z634" s="39"/>
      <c r="AA634" s="39"/>
      <c r="AB634" s="39"/>
      <c r="AC634" s="39"/>
      <c r="AD634" s="39"/>
      <c r="AE634" s="39"/>
      <c r="AF634" s="39"/>
      <c r="AG634" s="39"/>
      <c r="AH634" s="39"/>
      <c r="AI634" s="39"/>
      <c r="AJ634" s="423"/>
      <c r="AK634" s="39"/>
      <c r="AL634" s="423"/>
      <c r="AM634" s="39"/>
      <c r="AN634" s="39"/>
      <c r="AO634" s="39"/>
      <c r="AP634" s="39"/>
    </row>
    <row r="635" spans="2:42">
      <c r="B635" s="39"/>
      <c r="C635" s="39"/>
      <c r="D635" s="39"/>
      <c r="E635" s="39"/>
      <c r="F635" s="39"/>
      <c r="G635" s="39"/>
      <c r="H635" s="39"/>
      <c r="I635" s="39"/>
      <c r="J635" s="39"/>
      <c r="K635" s="39"/>
      <c r="L635" s="100"/>
      <c r="N635" s="39"/>
      <c r="O635" s="39"/>
      <c r="P635" s="39"/>
      <c r="Q635" s="39"/>
      <c r="R635" s="39"/>
      <c r="S635" s="39"/>
      <c r="T635" s="39"/>
      <c r="U635" s="39"/>
      <c r="V635" s="39"/>
      <c r="W635" s="39"/>
      <c r="Y635" s="39"/>
      <c r="Z635" s="39"/>
      <c r="AA635" s="39"/>
      <c r="AB635" s="39"/>
      <c r="AC635" s="39"/>
      <c r="AD635" s="39"/>
      <c r="AE635" s="39"/>
      <c r="AF635" s="39"/>
      <c r="AG635" s="39"/>
      <c r="AH635" s="39"/>
      <c r="AI635" s="39"/>
      <c r="AJ635" s="423"/>
      <c r="AK635" s="39"/>
      <c r="AL635" s="423"/>
      <c r="AM635" s="39"/>
      <c r="AN635" s="39"/>
      <c r="AO635" s="39"/>
      <c r="AP635" s="39"/>
    </row>
    <row r="636" spans="2:42">
      <c r="B636" s="39"/>
      <c r="C636" s="39"/>
      <c r="D636" s="39"/>
      <c r="E636" s="39"/>
      <c r="F636" s="39"/>
      <c r="G636" s="39"/>
      <c r="H636" s="39"/>
      <c r="I636" s="39"/>
      <c r="J636" s="39"/>
      <c r="K636" s="39"/>
      <c r="L636" s="100"/>
      <c r="N636" s="39"/>
      <c r="O636" s="39"/>
      <c r="P636" s="39"/>
      <c r="Q636" s="39"/>
      <c r="R636" s="39"/>
      <c r="S636" s="39"/>
      <c r="T636" s="39"/>
      <c r="U636" s="39"/>
      <c r="V636" s="39"/>
      <c r="W636" s="39"/>
      <c r="Y636" s="39"/>
      <c r="Z636" s="39"/>
      <c r="AA636" s="39"/>
      <c r="AB636" s="39"/>
      <c r="AC636" s="39"/>
      <c r="AD636" s="39"/>
      <c r="AE636" s="39"/>
      <c r="AF636" s="39"/>
      <c r="AG636" s="39"/>
      <c r="AH636" s="39"/>
      <c r="AI636" s="39"/>
      <c r="AJ636" s="423"/>
      <c r="AK636" s="39"/>
      <c r="AL636" s="423"/>
      <c r="AM636" s="39"/>
      <c r="AN636" s="39"/>
      <c r="AO636" s="39"/>
      <c r="AP636" s="39"/>
    </row>
    <row r="637" spans="2:42">
      <c r="B637" s="39"/>
      <c r="C637" s="39"/>
      <c r="D637" s="39"/>
      <c r="E637" s="39"/>
      <c r="F637" s="39"/>
      <c r="G637" s="39"/>
      <c r="H637" s="39"/>
      <c r="I637" s="39"/>
      <c r="J637" s="39"/>
      <c r="K637" s="39"/>
      <c r="L637" s="100"/>
      <c r="N637" s="39"/>
      <c r="O637" s="39"/>
      <c r="P637" s="39"/>
      <c r="Q637" s="39"/>
      <c r="R637" s="39"/>
      <c r="S637" s="39"/>
      <c r="T637" s="39"/>
      <c r="U637" s="39"/>
      <c r="V637" s="39"/>
      <c r="W637" s="39"/>
      <c r="Y637" s="39"/>
      <c r="Z637" s="39"/>
      <c r="AA637" s="39"/>
      <c r="AB637" s="39"/>
      <c r="AC637" s="39"/>
      <c r="AD637" s="39"/>
      <c r="AE637" s="39"/>
      <c r="AF637" s="39"/>
      <c r="AG637" s="39"/>
      <c r="AH637" s="39"/>
      <c r="AI637" s="39"/>
      <c r="AJ637" s="423"/>
      <c r="AK637" s="39"/>
      <c r="AL637" s="423"/>
      <c r="AM637" s="39"/>
      <c r="AN637" s="39"/>
      <c r="AO637" s="39"/>
      <c r="AP637" s="39"/>
    </row>
    <row r="638" spans="2:42">
      <c r="B638" s="39"/>
      <c r="C638" s="39"/>
      <c r="D638" s="39"/>
      <c r="E638" s="39"/>
      <c r="F638" s="39"/>
      <c r="G638" s="39"/>
      <c r="H638" s="39"/>
      <c r="I638" s="39"/>
      <c r="J638" s="39"/>
      <c r="K638" s="39"/>
      <c r="L638" s="100"/>
      <c r="N638" s="39"/>
      <c r="O638" s="39"/>
      <c r="P638" s="39"/>
      <c r="Q638" s="39"/>
      <c r="R638" s="39"/>
      <c r="S638" s="39"/>
      <c r="T638" s="39"/>
      <c r="U638" s="39"/>
      <c r="V638" s="39"/>
      <c r="W638" s="39"/>
      <c r="Y638" s="39"/>
      <c r="Z638" s="39"/>
      <c r="AA638" s="39"/>
      <c r="AB638" s="39"/>
      <c r="AC638" s="39"/>
      <c r="AD638" s="39"/>
      <c r="AE638" s="39"/>
      <c r="AF638" s="39"/>
      <c r="AG638" s="39"/>
      <c r="AH638" s="39"/>
      <c r="AI638" s="39"/>
      <c r="AJ638" s="423"/>
      <c r="AK638" s="39"/>
      <c r="AL638" s="423"/>
      <c r="AM638" s="39"/>
      <c r="AN638" s="39"/>
      <c r="AO638" s="39"/>
      <c r="AP638" s="39"/>
    </row>
    <row r="639" spans="2:42">
      <c r="B639" s="39"/>
      <c r="C639" s="39"/>
      <c r="D639" s="39"/>
      <c r="E639" s="39"/>
      <c r="F639" s="39"/>
      <c r="G639" s="39"/>
      <c r="H639" s="39"/>
      <c r="I639" s="39"/>
      <c r="J639" s="39"/>
      <c r="K639" s="39"/>
      <c r="L639" s="100"/>
      <c r="N639" s="39"/>
      <c r="O639" s="39"/>
      <c r="P639" s="39"/>
      <c r="Q639" s="39"/>
      <c r="R639" s="39"/>
      <c r="S639" s="39"/>
      <c r="T639" s="39"/>
      <c r="U639" s="39"/>
      <c r="V639" s="39"/>
      <c r="W639" s="39"/>
      <c r="Y639" s="39"/>
      <c r="Z639" s="39"/>
      <c r="AA639" s="39"/>
      <c r="AB639" s="39"/>
      <c r="AC639" s="39"/>
      <c r="AD639" s="39"/>
      <c r="AE639" s="39"/>
      <c r="AF639" s="39"/>
      <c r="AG639" s="39"/>
      <c r="AH639" s="39"/>
      <c r="AI639" s="39"/>
      <c r="AJ639" s="423"/>
      <c r="AK639" s="39"/>
      <c r="AL639" s="423"/>
      <c r="AM639" s="39"/>
      <c r="AN639" s="39"/>
      <c r="AO639" s="39"/>
      <c r="AP639" s="39"/>
    </row>
    <row r="640" spans="2:42">
      <c r="B640" s="39"/>
      <c r="C640" s="39"/>
      <c r="D640" s="39"/>
      <c r="E640" s="39"/>
      <c r="F640" s="39"/>
      <c r="G640" s="39"/>
      <c r="H640" s="39"/>
      <c r="I640" s="39"/>
      <c r="J640" s="39"/>
      <c r="K640" s="39"/>
      <c r="L640" s="100"/>
      <c r="N640" s="39"/>
      <c r="O640" s="39"/>
      <c r="P640" s="39"/>
      <c r="Q640" s="39"/>
      <c r="R640" s="39"/>
      <c r="S640" s="39"/>
      <c r="T640" s="39"/>
      <c r="U640" s="39"/>
      <c r="V640" s="39"/>
      <c r="W640" s="39"/>
      <c r="Y640" s="39"/>
      <c r="Z640" s="39"/>
      <c r="AA640" s="39"/>
      <c r="AB640" s="39"/>
      <c r="AC640" s="39"/>
      <c r="AD640" s="39"/>
      <c r="AE640" s="39"/>
      <c r="AF640" s="39"/>
      <c r="AG640" s="39"/>
      <c r="AH640" s="39"/>
      <c r="AI640" s="39"/>
      <c r="AJ640" s="423"/>
      <c r="AK640" s="39"/>
      <c r="AL640" s="423"/>
      <c r="AM640" s="39"/>
      <c r="AN640" s="39"/>
      <c r="AO640" s="39"/>
      <c r="AP640" s="39"/>
    </row>
    <row r="641" spans="2:42">
      <c r="B641" s="39"/>
      <c r="C641" s="39"/>
      <c r="D641" s="39"/>
      <c r="E641" s="39"/>
      <c r="F641" s="39"/>
      <c r="G641" s="39"/>
      <c r="H641" s="39"/>
      <c r="I641" s="39"/>
      <c r="J641" s="39"/>
      <c r="K641" s="39"/>
      <c r="L641" s="100"/>
      <c r="N641" s="39"/>
      <c r="O641" s="39"/>
      <c r="P641" s="39"/>
      <c r="Q641" s="39"/>
      <c r="R641" s="39"/>
      <c r="S641" s="39"/>
      <c r="T641" s="39"/>
      <c r="U641" s="39"/>
      <c r="V641" s="39"/>
      <c r="W641" s="39"/>
      <c r="Y641" s="39"/>
      <c r="Z641" s="39"/>
      <c r="AA641" s="39"/>
      <c r="AB641" s="39"/>
      <c r="AC641" s="39"/>
      <c r="AD641" s="39"/>
      <c r="AE641" s="39"/>
      <c r="AF641" s="39"/>
      <c r="AG641" s="39"/>
      <c r="AH641" s="39"/>
      <c r="AI641" s="39"/>
      <c r="AJ641" s="423"/>
      <c r="AK641" s="39"/>
      <c r="AL641" s="423"/>
      <c r="AM641" s="39"/>
      <c r="AN641" s="39"/>
      <c r="AO641" s="39"/>
      <c r="AP641" s="39"/>
    </row>
    <row r="642" spans="2:42">
      <c r="B642" s="39"/>
      <c r="C642" s="39"/>
      <c r="D642" s="39"/>
      <c r="E642" s="39"/>
      <c r="F642" s="39"/>
      <c r="G642" s="39"/>
      <c r="H642" s="39"/>
      <c r="I642" s="39"/>
      <c r="J642" s="39"/>
      <c r="K642" s="39"/>
      <c r="L642" s="100"/>
      <c r="N642" s="39"/>
      <c r="O642" s="39"/>
      <c r="P642" s="39"/>
      <c r="Q642" s="39"/>
      <c r="R642" s="39"/>
      <c r="S642" s="39"/>
      <c r="T642" s="39"/>
      <c r="U642" s="39"/>
      <c r="V642" s="39"/>
      <c r="W642" s="39"/>
      <c r="Y642" s="39"/>
      <c r="Z642" s="39"/>
      <c r="AA642" s="39"/>
      <c r="AB642" s="39"/>
      <c r="AC642" s="39"/>
      <c r="AD642" s="39"/>
      <c r="AE642" s="39"/>
      <c r="AF642" s="39"/>
      <c r="AG642" s="39"/>
      <c r="AH642" s="39"/>
      <c r="AI642" s="39"/>
      <c r="AJ642" s="423"/>
      <c r="AK642" s="39"/>
      <c r="AL642" s="423"/>
      <c r="AM642" s="39"/>
      <c r="AN642" s="39"/>
      <c r="AO642" s="39"/>
      <c r="AP642" s="39"/>
    </row>
    <row r="643" spans="2:42">
      <c r="B643" s="39"/>
      <c r="C643" s="39"/>
      <c r="D643" s="39"/>
      <c r="E643" s="39"/>
      <c r="F643" s="39"/>
      <c r="G643" s="39"/>
      <c r="H643" s="39"/>
      <c r="I643" s="39"/>
      <c r="J643" s="39"/>
      <c r="K643" s="39"/>
      <c r="L643" s="100"/>
      <c r="N643" s="39"/>
      <c r="O643" s="39"/>
      <c r="P643" s="39"/>
      <c r="Q643" s="39"/>
      <c r="R643" s="39"/>
      <c r="S643" s="39"/>
      <c r="T643" s="39"/>
      <c r="U643" s="39"/>
      <c r="V643" s="39"/>
      <c r="W643" s="39"/>
      <c r="Y643" s="39"/>
      <c r="Z643" s="39"/>
      <c r="AA643" s="39"/>
      <c r="AB643" s="39"/>
      <c r="AC643" s="39"/>
      <c r="AD643" s="39"/>
      <c r="AE643" s="39"/>
      <c r="AF643" s="39"/>
      <c r="AG643" s="39"/>
      <c r="AH643" s="39"/>
      <c r="AI643" s="39"/>
      <c r="AJ643" s="423"/>
      <c r="AK643" s="39"/>
      <c r="AL643" s="423"/>
      <c r="AM643" s="39"/>
      <c r="AN643" s="39"/>
      <c r="AO643" s="39"/>
      <c r="AP643" s="39"/>
    </row>
    <row r="644" spans="2:42">
      <c r="B644" s="39"/>
      <c r="C644" s="39"/>
      <c r="D644" s="39"/>
      <c r="E644" s="39"/>
      <c r="F644" s="39"/>
      <c r="G644" s="39"/>
      <c r="H644" s="39"/>
      <c r="I644" s="39"/>
      <c r="J644" s="39"/>
      <c r="K644" s="39"/>
      <c r="L644" s="100"/>
      <c r="N644" s="39"/>
      <c r="O644" s="39"/>
      <c r="P644" s="39"/>
      <c r="Q644" s="39"/>
      <c r="R644" s="39"/>
      <c r="S644" s="39"/>
      <c r="T644" s="39"/>
      <c r="U644" s="39"/>
      <c r="V644" s="39"/>
      <c r="W644" s="39"/>
      <c r="Y644" s="39"/>
      <c r="Z644" s="39"/>
      <c r="AA644" s="39"/>
      <c r="AB644" s="39"/>
      <c r="AC644" s="39"/>
      <c r="AD644" s="39"/>
      <c r="AE644" s="39"/>
      <c r="AF644" s="39"/>
      <c r="AG644" s="39"/>
      <c r="AH644" s="39"/>
      <c r="AI644" s="39"/>
      <c r="AJ644" s="423"/>
      <c r="AK644" s="39"/>
      <c r="AL644" s="423"/>
      <c r="AM644" s="39"/>
      <c r="AN644" s="39"/>
      <c r="AO644" s="39"/>
      <c r="AP644" s="39"/>
    </row>
    <row r="645" spans="2:42">
      <c r="B645" s="39"/>
      <c r="C645" s="39"/>
      <c r="D645" s="39"/>
      <c r="E645" s="39"/>
      <c r="F645" s="39"/>
      <c r="G645" s="39"/>
      <c r="H645" s="39"/>
      <c r="I645" s="39"/>
      <c r="J645" s="39"/>
      <c r="K645" s="39"/>
      <c r="L645" s="100"/>
      <c r="N645" s="39"/>
      <c r="O645" s="39"/>
      <c r="P645" s="39"/>
      <c r="Q645" s="39"/>
      <c r="R645" s="39"/>
      <c r="S645" s="39"/>
      <c r="T645" s="39"/>
      <c r="U645" s="39"/>
      <c r="V645" s="39"/>
      <c r="W645" s="39"/>
      <c r="Y645" s="39"/>
      <c r="Z645" s="39"/>
      <c r="AA645" s="39"/>
      <c r="AB645" s="39"/>
      <c r="AC645" s="39"/>
      <c r="AD645" s="39"/>
      <c r="AE645" s="39"/>
      <c r="AF645" s="39"/>
      <c r="AG645" s="39"/>
      <c r="AH645" s="39"/>
      <c r="AI645" s="39"/>
      <c r="AJ645" s="423"/>
      <c r="AK645" s="39"/>
      <c r="AL645" s="423"/>
      <c r="AM645" s="39"/>
      <c r="AN645" s="39"/>
      <c r="AO645" s="39"/>
      <c r="AP645" s="39"/>
    </row>
    <row r="646" spans="2:42">
      <c r="B646" s="39"/>
      <c r="C646" s="39"/>
      <c r="D646" s="39"/>
      <c r="E646" s="39"/>
      <c r="F646" s="39"/>
      <c r="G646" s="39"/>
      <c r="H646" s="39"/>
      <c r="I646" s="39"/>
      <c r="J646" s="39"/>
      <c r="K646" s="39"/>
      <c r="L646" s="100"/>
      <c r="N646" s="39"/>
      <c r="O646" s="39"/>
      <c r="P646" s="39"/>
      <c r="Q646" s="39"/>
      <c r="R646" s="39"/>
      <c r="S646" s="39"/>
      <c r="T646" s="39"/>
      <c r="U646" s="39"/>
      <c r="V646" s="39"/>
      <c r="W646" s="39"/>
      <c r="Y646" s="39"/>
      <c r="Z646" s="39"/>
      <c r="AA646" s="39"/>
      <c r="AB646" s="39"/>
      <c r="AC646" s="39"/>
      <c r="AD646" s="39"/>
      <c r="AE646" s="39"/>
      <c r="AF646" s="39"/>
      <c r="AG646" s="39"/>
      <c r="AH646" s="39"/>
      <c r="AI646" s="39"/>
      <c r="AJ646" s="423"/>
      <c r="AK646" s="39"/>
      <c r="AL646" s="423"/>
      <c r="AM646" s="39"/>
      <c r="AN646" s="39"/>
      <c r="AO646" s="39"/>
      <c r="AP646" s="39"/>
    </row>
    <row r="647" spans="2:42">
      <c r="B647" s="39"/>
      <c r="C647" s="39"/>
      <c r="D647" s="39"/>
      <c r="E647" s="39"/>
      <c r="F647" s="39"/>
      <c r="G647" s="39"/>
      <c r="H647" s="39"/>
      <c r="I647" s="39"/>
      <c r="J647" s="39"/>
      <c r="K647" s="39"/>
      <c r="L647" s="100"/>
      <c r="N647" s="39"/>
      <c r="O647" s="39"/>
      <c r="P647" s="39"/>
      <c r="Q647" s="39"/>
      <c r="R647" s="39"/>
      <c r="S647" s="39"/>
      <c r="T647" s="39"/>
      <c r="U647" s="39"/>
      <c r="V647" s="39"/>
      <c r="W647" s="39"/>
      <c r="Y647" s="39"/>
      <c r="Z647" s="39"/>
      <c r="AA647" s="39"/>
      <c r="AB647" s="39"/>
      <c r="AC647" s="39"/>
      <c r="AD647" s="39"/>
      <c r="AE647" s="39"/>
      <c r="AF647" s="39"/>
      <c r="AG647" s="39"/>
      <c r="AH647" s="39"/>
      <c r="AI647" s="39"/>
      <c r="AJ647" s="423"/>
      <c r="AK647" s="39"/>
      <c r="AL647" s="423"/>
      <c r="AM647" s="39"/>
      <c r="AN647" s="39"/>
      <c r="AO647" s="39"/>
      <c r="AP647" s="39"/>
    </row>
    <row r="648" spans="2:42">
      <c r="B648" s="39"/>
      <c r="C648" s="39"/>
      <c r="D648" s="39"/>
      <c r="E648" s="39"/>
      <c r="F648" s="39"/>
      <c r="G648" s="39"/>
      <c r="H648" s="39"/>
      <c r="I648" s="39"/>
      <c r="J648" s="39"/>
      <c r="K648" s="39"/>
      <c r="L648" s="100"/>
      <c r="N648" s="39"/>
      <c r="O648" s="39"/>
      <c r="P648" s="39"/>
      <c r="Q648" s="39"/>
      <c r="R648" s="39"/>
      <c r="S648" s="39"/>
      <c r="T648" s="39"/>
      <c r="U648" s="39"/>
      <c r="V648" s="39"/>
      <c r="W648" s="39"/>
      <c r="Y648" s="39"/>
      <c r="Z648" s="39"/>
      <c r="AA648" s="39"/>
      <c r="AB648" s="39"/>
      <c r="AC648" s="39"/>
      <c r="AD648" s="39"/>
      <c r="AE648" s="39"/>
      <c r="AF648" s="39"/>
      <c r="AG648" s="39"/>
      <c r="AH648" s="39"/>
      <c r="AI648" s="39"/>
      <c r="AJ648" s="423"/>
      <c r="AK648" s="39"/>
      <c r="AL648" s="423"/>
      <c r="AM648" s="39"/>
      <c r="AN648" s="39"/>
      <c r="AO648" s="39"/>
      <c r="AP648" s="39"/>
    </row>
    <row r="649" spans="2:42">
      <c r="B649" s="39"/>
      <c r="C649" s="39"/>
      <c r="D649" s="39"/>
      <c r="E649" s="39"/>
      <c r="F649" s="39"/>
      <c r="G649" s="39"/>
      <c r="H649" s="39"/>
      <c r="I649" s="39"/>
      <c r="J649" s="39"/>
      <c r="K649" s="39"/>
      <c r="L649" s="100"/>
      <c r="N649" s="39"/>
      <c r="O649" s="39"/>
      <c r="P649" s="39"/>
      <c r="Q649" s="39"/>
      <c r="R649" s="39"/>
      <c r="S649" s="39"/>
      <c r="T649" s="39"/>
      <c r="U649" s="39"/>
      <c r="V649" s="39"/>
      <c r="W649" s="39"/>
      <c r="Y649" s="39"/>
      <c r="Z649" s="39"/>
      <c r="AA649" s="39"/>
      <c r="AB649" s="39"/>
      <c r="AC649" s="39"/>
      <c r="AD649" s="39"/>
      <c r="AE649" s="39"/>
      <c r="AF649" s="39"/>
      <c r="AG649" s="39"/>
      <c r="AH649" s="39"/>
      <c r="AI649" s="39"/>
      <c r="AJ649" s="423"/>
      <c r="AK649" s="39"/>
      <c r="AL649" s="423"/>
      <c r="AM649" s="39"/>
      <c r="AN649" s="39"/>
      <c r="AO649" s="39"/>
      <c r="AP649" s="39"/>
    </row>
    <row r="650" spans="2:42">
      <c r="B650" s="39"/>
      <c r="C650" s="39"/>
      <c r="D650" s="39"/>
      <c r="E650" s="39"/>
      <c r="F650" s="39"/>
      <c r="G650" s="39"/>
      <c r="H650" s="39"/>
      <c r="I650" s="39"/>
      <c r="J650" s="39"/>
      <c r="K650" s="39"/>
      <c r="L650" s="100"/>
      <c r="N650" s="39"/>
      <c r="O650" s="39"/>
      <c r="P650" s="39"/>
      <c r="Q650" s="39"/>
      <c r="R650" s="39"/>
      <c r="S650" s="39"/>
      <c r="T650" s="39"/>
      <c r="U650" s="39"/>
      <c r="V650" s="39"/>
      <c r="W650" s="39"/>
      <c r="Y650" s="39"/>
      <c r="Z650" s="39"/>
      <c r="AA650" s="39"/>
      <c r="AB650" s="39"/>
      <c r="AC650" s="39"/>
      <c r="AD650" s="39"/>
      <c r="AE650" s="39"/>
      <c r="AF650" s="39"/>
      <c r="AG650" s="39"/>
      <c r="AH650" s="39"/>
      <c r="AI650" s="39"/>
      <c r="AJ650" s="423"/>
      <c r="AK650" s="39"/>
      <c r="AL650" s="423"/>
      <c r="AM650" s="39"/>
      <c r="AN650" s="39"/>
      <c r="AO650" s="39"/>
      <c r="AP650" s="39"/>
    </row>
    <row r="651" spans="2:42">
      <c r="B651" s="39"/>
      <c r="C651" s="39"/>
      <c r="D651" s="39"/>
      <c r="E651" s="39"/>
      <c r="F651" s="39"/>
      <c r="G651" s="39"/>
      <c r="H651" s="39"/>
      <c r="I651" s="39"/>
      <c r="J651" s="39"/>
      <c r="K651" s="39"/>
      <c r="L651" s="100"/>
      <c r="N651" s="39"/>
      <c r="O651" s="39"/>
      <c r="P651" s="39"/>
      <c r="Q651" s="39"/>
      <c r="R651" s="39"/>
      <c r="S651" s="39"/>
      <c r="T651" s="39"/>
      <c r="U651" s="39"/>
      <c r="V651" s="39"/>
      <c r="W651" s="39"/>
      <c r="Y651" s="39"/>
      <c r="Z651" s="39"/>
      <c r="AA651" s="39"/>
      <c r="AB651" s="39"/>
      <c r="AC651" s="39"/>
      <c r="AD651" s="39"/>
      <c r="AE651" s="39"/>
      <c r="AF651" s="39"/>
      <c r="AG651" s="39"/>
      <c r="AH651" s="39"/>
      <c r="AI651" s="39"/>
      <c r="AJ651" s="423"/>
      <c r="AK651" s="39"/>
      <c r="AL651" s="423"/>
      <c r="AM651" s="39"/>
      <c r="AN651" s="39"/>
      <c r="AO651" s="39"/>
      <c r="AP651" s="39"/>
    </row>
    <row r="652" spans="2:42">
      <c r="B652" s="39"/>
      <c r="C652" s="39"/>
      <c r="D652" s="39"/>
      <c r="E652" s="39"/>
      <c r="F652" s="39"/>
      <c r="G652" s="39"/>
      <c r="H652" s="39"/>
      <c r="I652" s="39"/>
      <c r="J652" s="39"/>
      <c r="K652" s="39"/>
      <c r="L652" s="100"/>
      <c r="N652" s="39"/>
      <c r="O652" s="39"/>
      <c r="P652" s="39"/>
      <c r="Q652" s="39"/>
      <c r="R652" s="39"/>
      <c r="S652" s="39"/>
      <c r="T652" s="39"/>
      <c r="U652" s="39"/>
      <c r="V652" s="39"/>
      <c r="W652" s="39"/>
      <c r="Y652" s="39"/>
      <c r="Z652" s="39"/>
      <c r="AA652" s="39"/>
      <c r="AB652" s="39"/>
      <c r="AC652" s="39"/>
      <c r="AD652" s="39"/>
      <c r="AE652" s="39"/>
      <c r="AF652" s="39"/>
      <c r="AG652" s="39"/>
      <c r="AH652" s="39"/>
      <c r="AI652" s="39"/>
      <c r="AJ652" s="423"/>
      <c r="AK652" s="39"/>
      <c r="AL652" s="423"/>
      <c r="AM652" s="39"/>
      <c r="AN652" s="39"/>
      <c r="AO652" s="39"/>
      <c r="AP652" s="39"/>
    </row>
    <row r="653" spans="2:42">
      <c r="B653" s="39"/>
      <c r="C653" s="39"/>
      <c r="D653" s="39"/>
      <c r="E653" s="39"/>
      <c r="F653" s="39"/>
      <c r="G653" s="39"/>
      <c r="H653" s="39"/>
      <c r="I653" s="39"/>
      <c r="J653" s="39"/>
      <c r="K653" s="39"/>
      <c r="L653" s="100"/>
      <c r="N653" s="39"/>
      <c r="O653" s="39"/>
      <c r="P653" s="39"/>
      <c r="Q653" s="39"/>
      <c r="R653" s="39"/>
      <c r="S653" s="39"/>
      <c r="T653" s="39"/>
      <c r="U653" s="39"/>
      <c r="V653" s="39"/>
      <c r="W653" s="39"/>
      <c r="Y653" s="39"/>
      <c r="Z653" s="39"/>
      <c r="AA653" s="39"/>
      <c r="AB653" s="39"/>
      <c r="AC653" s="39"/>
      <c r="AD653" s="39"/>
      <c r="AE653" s="39"/>
      <c r="AF653" s="39"/>
      <c r="AG653" s="39"/>
      <c r="AH653" s="39"/>
      <c r="AI653" s="39"/>
      <c r="AJ653" s="423"/>
      <c r="AK653" s="39"/>
      <c r="AL653" s="423"/>
      <c r="AM653" s="39"/>
      <c r="AN653" s="39"/>
      <c r="AO653" s="39"/>
      <c r="AP653" s="39"/>
    </row>
    <row r="654" spans="2:42">
      <c r="B654" s="39"/>
      <c r="C654" s="39"/>
      <c r="D654" s="39"/>
      <c r="E654" s="39"/>
      <c r="F654" s="39"/>
      <c r="G654" s="39"/>
      <c r="H654" s="39"/>
      <c r="I654" s="39"/>
      <c r="J654" s="39"/>
      <c r="K654" s="39"/>
      <c r="L654" s="100"/>
      <c r="N654" s="39"/>
      <c r="O654" s="39"/>
      <c r="P654" s="39"/>
      <c r="Q654" s="39"/>
      <c r="R654" s="39"/>
      <c r="S654" s="39"/>
      <c r="T654" s="39"/>
      <c r="U654" s="39"/>
      <c r="V654" s="39"/>
      <c r="W654" s="39"/>
      <c r="Y654" s="39"/>
      <c r="Z654" s="39"/>
      <c r="AA654" s="39"/>
      <c r="AB654" s="39"/>
      <c r="AC654" s="39"/>
      <c r="AD654" s="39"/>
      <c r="AE654" s="39"/>
      <c r="AF654" s="39"/>
      <c r="AG654" s="39"/>
      <c r="AH654" s="39"/>
      <c r="AI654" s="39"/>
      <c r="AJ654" s="423"/>
      <c r="AK654" s="39"/>
      <c r="AL654" s="423"/>
      <c r="AM654" s="39"/>
      <c r="AN654" s="39"/>
      <c r="AO654" s="39"/>
      <c r="AP654" s="39"/>
    </row>
    <row r="655" spans="2:42">
      <c r="B655" s="39"/>
      <c r="C655" s="39"/>
      <c r="D655" s="39"/>
      <c r="E655" s="39"/>
      <c r="F655" s="39"/>
      <c r="G655" s="39"/>
      <c r="H655" s="39"/>
      <c r="I655" s="39"/>
      <c r="J655" s="39"/>
      <c r="K655" s="39"/>
      <c r="L655" s="100"/>
      <c r="N655" s="39"/>
      <c r="O655" s="39"/>
      <c r="P655" s="39"/>
      <c r="Q655" s="39"/>
      <c r="R655" s="39"/>
      <c r="S655" s="39"/>
      <c r="T655" s="39"/>
      <c r="U655" s="39"/>
      <c r="V655" s="39"/>
      <c r="W655" s="39"/>
      <c r="Y655" s="39"/>
      <c r="Z655" s="39"/>
      <c r="AA655" s="39"/>
      <c r="AB655" s="39"/>
      <c r="AC655" s="39"/>
      <c r="AD655" s="39"/>
      <c r="AE655" s="39"/>
      <c r="AF655" s="39"/>
      <c r="AG655" s="39"/>
      <c r="AH655" s="39"/>
      <c r="AI655" s="39"/>
      <c r="AJ655" s="423"/>
      <c r="AK655" s="39"/>
      <c r="AL655" s="423"/>
      <c r="AM655" s="39"/>
      <c r="AN655" s="39"/>
      <c r="AO655" s="39"/>
      <c r="AP655" s="39"/>
    </row>
    <row r="656" spans="2:42">
      <c r="B656" s="39"/>
      <c r="C656" s="39"/>
      <c r="D656" s="39"/>
      <c r="E656" s="39"/>
      <c r="F656" s="39"/>
      <c r="G656" s="39"/>
      <c r="H656" s="39"/>
      <c r="I656" s="39"/>
      <c r="J656" s="39"/>
      <c r="K656" s="39"/>
      <c r="L656" s="100"/>
      <c r="N656" s="39"/>
      <c r="O656" s="39"/>
      <c r="P656" s="39"/>
      <c r="Q656" s="39"/>
      <c r="R656" s="39"/>
      <c r="S656" s="39"/>
      <c r="T656" s="39"/>
      <c r="U656" s="39"/>
      <c r="V656" s="39"/>
      <c r="W656" s="39"/>
      <c r="Y656" s="39"/>
      <c r="Z656" s="39"/>
      <c r="AA656" s="39"/>
      <c r="AB656" s="39"/>
      <c r="AC656" s="39"/>
      <c r="AD656" s="39"/>
      <c r="AE656" s="39"/>
      <c r="AF656" s="39"/>
      <c r="AG656" s="39"/>
      <c r="AH656" s="39"/>
      <c r="AI656" s="39"/>
      <c r="AJ656" s="423"/>
      <c r="AK656" s="39"/>
      <c r="AL656" s="423"/>
      <c r="AM656" s="39"/>
      <c r="AN656" s="39"/>
      <c r="AO656" s="39"/>
      <c r="AP656" s="39"/>
    </row>
    <row r="657" spans="2:42">
      <c r="B657" s="39"/>
      <c r="C657" s="39"/>
      <c r="D657" s="39"/>
      <c r="E657" s="39"/>
      <c r="F657" s="39"/>
      <c r="G657" s="39"/>
      <c r="H657" s="39"/>
      <c r="I657" s="39"/>
      <c r="J657" s="39"/>
      <c r="K657" s="39"/>
      <c r="L657" s="100"/>
      <c r="N657" s="39"/>
      <c r="O657" s="39"/>
      <c r="P657" s="39"/>
      <c r="Q657" s="39"/>
      <c r="R657" s="39"/>
      <c r="S657" s="39"/>
      <c r="T657" s="39"/>
      <c r="U657" s="39"/>
      <c r="V657" s="39"/>
      <c r="W657" s="39"/>
      <c r="Y657" s="39"/>
      <c r="Z657" s="39"/>
      <c r="AA657" s="39"/>
      <c r="AB657" s="39"/>
      <c r="AC657" s="39"/>
      <c r="AD657" s="39"/>
      <c r="AE657" s="39"/>
      <c r="AF657" s="39"/>
      <c r="AG657" s="39"/>
      <c r="AH657" s="39"/>
      <c r="AI657" s="39"/>
      <c r="AJ657" s="423"/>
      <c r="AK657" s="39"/>
      <c r="AL657" s="423"/>
      <c r="AM657" s="39"/>
      <c r="AN657" s="39"/>
      <c r="AO657" s="39"/>
      <c r="AP657" s="39"/>
    </row>
    <row r="658" spans="2:42">
      <c r="B658" s="39"/>
      <c r="C658" s="39"/>
      <c r="D658" s="39"/>
      <c r="E658" s="39"/>
      <c r="F658" s="39"/>
      <c r="G658" s="39"/>
      <c r="H658" s="39"/>
      <c r="I658" s="39"/>
      <c r="J658" s="39"/>
      <c r="K658" s="39"/>
      <c r="L658" s="100"/>
      <c r="N658" s="39"/>
      <c r="O658" s="39"/>
      <c r="P658" s="39"/>
      <c r="Q658" s="39"/>
      <c r="R658" s="39"/>
      <c r="S658" s="39"/>
      <c r="T658" s="39"/>
      <c r="U658" s="39"/>
      <c r="V658" s="39"/>
      <c r="W658" s="39"/>
      <c r="Y658" s="39"/>
      <c r="Z658" s="39"/>
      <c r="AA658" s="39"/>
      <c r="AB658" s="39"/>
      <c r="AC658" s="39"/>
      <c r="AD658" s="39"/>
      <c r="AE658" s="39"/>
      <c r="AF658" s="39"/>
      <c r="AG658" s="39"/>
      <c r="AH658" s="39"/>
      <c r="AI658" s="39"/>
      <c r="AJ658" s="423"/>
      <c r="AK658" s="39"/>
      <c r="AL658" s="423"/>
      <c r="AM658" s="39"/>
      <c r="AN658" s="39"/>
      <c r="AO658" s="39"/>
      <c r="AP658" s="39"/>
    </row>
    <row r="659" spans="2:42">
      <c r="B659" s="39"/>
      <c r="C659" s="39"/>
      <c r="D659" s="39"/>
      <c r="E659" s="39"/>
      <c r="F659" s="39"/>
      <c r="G659" s="39"/>
      <c r="H659" s="39"/>
      <c r="I659" s="39"/>
      <c r="J659" s="39"/>
      <c r="K659" s="39"/>
      <c r="L659" s="100"/>
      <c r="N659" s="39"/>
      <c r="O659" s="39"/>
      <c r="P659" s="39"/>
      <c r="Q659" s="39"/>
      <c r="R659" s="39"/>
      <c r="S659" s="39"/>
      <c r="T659" s="39"/>
      <c r="U659" s="39"/>
      <c r="V659" s="39"/>
      <c r="W659" s="39"/>
      <c r="Y659" s="39"/>
      <c r="Z659" s="39"/>
      <c r="AA659" s="39"/>
      <c r="AB659" s="39"/>
      <c r="AC659" s="39"/>
      <c r="AD659" s="39"/>
      <c r="AE659" s="39"/>
      <c r="AF659" s="39"/>
      <c r="AG659" s="39"/>
      <c r="AH659" s="39"/>
      <c r="AI659" s="39"/>
      <c r="AJ659" s="423"/>
      <c r="AK659" s="39"/>
      <c r="AL659" s="423"/>
      <c r="AM659" s="39"/>
      <c r="AN659" s="39"/>
      <c r="AO659" s="39"/>
      <c r="AP659" s="39"/>
    </row>
    <row r="660" spans="2:42">
      <c r="B660" s="39"/>
      <c r="C660" s="39"/>
      <c r="D660" s="39"/>
      <c r="E660" s="39"/>
      <c r="F660" s="39"/>
      <c r="G660" s="39"/>
      <c r="H660" s="39"/>
      <c r="I660" s="39"/>
      <c r="J660" s="39"/>
      <c r="K660" s="39"/>
      <c r="L660" s="100"/>
      <c r="N660" s="39"/>
      <c r="O660" s="39"/>
      <c r="P660" s="39"/>
      <c r="Q660" s="39"/>
      <c r="R660" s="39"/>
      <c r="S660" s="39"/>
      <c r="T660" s="39"/>
      <c r="U660" s="39"/>
      <c r="V660" s="39"/>
      <c r="W660" s="39"/>
      <c r="Y660" s="39"/>
      <c r="Z660" s="39"/>
      <c r="AA660" s="39"/>
      <c r="AB660" s="39"/>
      <c r="AC660" s="39"/>
      <c r="AD660" s="39"/>
      <c r="AE660" s="39"/>
      <c r="AF660" s="39"/>
      <c r="AG660" s="39"/>
      <c r="AH660" s="39"/>
      <c r="AI660" s="39"/>
      <c r="AJ660" s="423"/>
      <c r="AK660" s="39"/>
      <c r="AL660" s="423"/>
      <c r="AM660" s="39"/>
      <c r="AN660" s="39"/>
      <c r="AO660" s="39"/>
      <c r="AP660" s="39"/>
    </row>
    <row r="661" spans="2:42">
      <c r="B661" s="39"/>
      <c r="C661" s="39"/>
      <c r="D661" s="39"/>
      <c r="E661" s="39"/>
      <c r="F661" s="39"/>
      <c r="G661" s="39"/>
      <c r="H661" s="39"/>
      <c r="I661" s="39"/>
      <c r="J661" s="39"/>
      <c r="K661" s="39"/>
      <c r="L661" s="100"/>
      <c r="N661" s="39"/>
      <c r="O661" s="39"/>
      <c r="P661" s="39"/>
      <c r="Q661" s="39"/>
      <c r="R661" s="39"/>
      <c r="S661" s="39"/>
      <c r="T661" s="39"/>
      <c r="U661" s="39"/>
      <c r="V661" s="39"/>
      <c r="W661" s="39"/>
      <c r="Y661" s="39"/>
      <c r="Z661" s="39"/>
      <c r="AA661" s="39"/>
      <c r="AB661" s="39"/>
      <c r="AC661" s="39"/>
      <c r="AD661" s="39"/>
      <c r="AE661" s="39"/>
      <c r="AF661" s="39"/>
      <c r="AG661" s="39"/>
      <c r="AH661" s="39"/>
      <c r="AI661" s="39"/>
      <c r="AJ661" s="423"/>
      <c r="AK661" s="39"/>
      <c r="AL661" s="423"/>
      <c r="AM661" s="39"/>
      <c r="AN661" s="39"/>
      <c r="AO661" s="39"/>
      <c r="AP661" s="39"/>
    </row>
    <row r="662" spans="2:42">
      <c r="B662" s="39"/>
      <c r="C662" s="39"/>
      <c r="D662" s="39"/>
      <c r="E662" s="39"/>
      <c r="F662" s="39"/>
      <c r="G662" s="39"/>
      <c r="H662" s="39"/>
      <c r="I662" s="39"/>
      <c r="J662" s="39"/>
      <c r="K662" s="39"/>
      <c r="L662" s="100"/>
      <c r="N662" s="39"/>
      <c r="O662" s="39"/>
      <c r="P662" s="39"/>
      <c r="Q662" s="39"/>
      <c r="R662" s="39"/>
      <c r="S662" s="39"/>
      <c r="T662" s="39"/>
      <c r="U662" s="39"/>
      <c r="V662" s="39"/>
      <c r="W662" s="39"/>
      <c r="Y662" s="39"/>
      <c r="Z662" s="39"/>
      <c r="AA662" s="39"/>
      <c r="AB662" s="39"/>
      <c r="AC662" s="39"/>
      <c r="AD662" s="39"/>
      <c r="AE662" s="39"/>
      <c r="AF662" s="39"/>
      <c r="AG662" s="39"/>
      <c r="AH662" s="39"/>
      <c r="AI662" s="39"/>
      <c r="AJ662" s="423"/>
      <c r="AK662" s="39"/>
      <c r="AL662" s="423"/>
      <c r="AM662" s="39"/>
      <c r="AN662" s="39"/>
      <c r="AO662" s="39"/>
      <c r="AP662" s="39"/>
    </row>
    <row r="663" spans="2:42">
      <c r="B663" s="39"/>
      <c r="C663" s="39"/>
      <c r="D663" s="39"/>
      <c r="E663" s="39"/>
      <c r="F663" s="39"/>
      <c r="G663" s="39"/>
      <c r="H663" s="39"/>
      <c r="I663" s="39"/>
      <c r="J663" s="39"/>
      <c r="K663" s="39"/>
      <c r="L663" s="100"/>
      <c r="N663" s="39"/>
      <c r="O663" s="39"/>
      <c r="P663" s="39"/>
      <c r="Q663" s="39"/>
      <c r="R663" s="39"/>
      <c r="S663" s="39"/>
      <c r="T663" s="39"/>
      <c r="U663" s="39"/>
      <c r="V663" s="39"/>
      <c r="W663" s="39"/>
      <c r="Y663" s="39"/>
      <c r="Z663" s="39"/>
      <c r="AA663" s="39"/>
      <c r="AB663" s="39"/>
      <c r="AC663" s="39"/>
      <c r="AD663" s="39"/>
      <c r="AE663" s="39"/>
      <c r="AF663" s="39"/>
      <c r="AG663" s="39"/>
      <c r="AH663" s="39"/>
      <c r="AI663" s="39"/>
      <c r="AJ663" s="423"/>
      <c r="AK663" s="39"/>
      <c r="AL663" s="423"/>
      <c r="AM663" s="39"/>
      <c r="AN663" s="39"/>
      <c r="AO663" s="39"/>
      <c r="AP663" s="39"/>
    </row>
    <row r="664" spans="2:42">
      <c r="B664" s="39"/>
      <c r="C664" s="39"/>
      <c r="D664" s="39"/>
      <c r="E664" s="39"/>
      <c r="F664" s="39"/>
      <c r="G664" s="39"/>
      <c r="H664" s="39"/>
      <c r="I664" s="39"/>
      <c r="J664" s="39"/>
      <c r="K664" s="39"/>
      <c r="L664" s="100"/>
      <c r="N664" s="39"/>
      <c r="O664" s="39"/>
      <c r="P664" s="39"/>
      <c r="Q664" s="39"/>
      <c r="R664" s="39"/>
      <c r="S664" s="39"/>
      <c r="T664" s="39"/>
      <c r="U664" s="39"/>
      <c r="V664" s="39"/>
      <c r="W664" s="39"/>
      <c r="Y664" s="39"/>
      <c r="Z664" s="39"/>
      <c r="AA664" s="39"/>
      <c r="AB664" s="39"/>
      <c r="AC664" s="39"/>
      <c r="AD664" s="39"/>
      <c r="AE664" s="39"/>
      <c r="AF664" s="39"/>
      <c r="AG664" s="39"/>
      <c r="AH664" s="39"/>
      <c r="AI664" s="39"/>
      <c r="AJ664" s="423"/>
      <c r="AK664" s="39"/>
      <c r="AL664" s="423"/>
      <c r="AM664" s="39"/>
      <c r="AN664" s="39"/>
      <c r="AO664" s="39"/>
      <c r="AP664" s="39"/>
    </row>
    <row r="665" spans="2:42">
      <c r="B665" s="39"/>
      <c r="C665" s="39"/>
      <c r="D665" s="39"/>
      <c r="E665" s="39"/>
      <c r="F665" s="39"/>
      <c r="G665" s="39"/>
      <c r="H665" s="39"/>
      <c r="I665" s="39"/>
      <c r="J665" s="39"/>
      <c r="K665" s="39"/>
      <c r="L665" s="100"/>
      <c r="N665" s="39"/>
      <c r="O665" s="39"/>
      <c r="P665" s="39"/>
      <c r="Q665" s="39"/>
      <c r="R665" s="39"/>
      <c r="S665" s="39"/>
      <c r="T665" s="39"/>
      <c r="U665" s="39"/>
      <c r="V665" s="39"/>
      <c r="W665" s="39"/>
      <c r="Y665" s="39"/>
      <c r="Z665" s="39"/>
      <c r="AA665" s="39"/>
      <c r="AB665" s="39"/>
      <c r="AC665" s="39"/>
      <c r="AD665" s="39"/>
      <c r="AE665" s="39"/>
      <c r="AF665" s="39"/>
      <c r="AG665" s="39"/>
      <c r="AH665" s="39"/>
      <c r="AI665" s="39"/>
      <c r="AJ665" s="423"/>
      <c r="AK665" s="39"/>
      <c r="AL665" s="423"/>
      <c r="AM665" s="39"/>
      <c r="AN665" s="39"/>
      <c r="AO665" s="39"/>
      <c r="AP665" s="39"/>
    </row>
    <row r="666" spans="2:42">
      <c r="B666" s="39"/>
      <c r="C666" s="39"/>
      <c r="D666" s="39"/>
      <c r="E666" s="39"/>
      <c r="F666" s="39"/>
      <c r="G666" s="39"/>
      <c r="H666" s="39"/>
      <c r="I666" s="39"/>
      <c r="J666" s="39"/>
      <c r="K666" s="39"/>
      <c r="L666" s="100"/>
      <c r="N666" s="39"/>
      <c r="O666" s="39"/>
      <c r="P666" s="39"/>
      <c r="Q666" s="39"/>
      <c r="R666" s="39"/>
      <c r="S666" s="39"/>
      <c r="T666" s="39"/>
      <c r="U666" s="39"/>
      <c r="V666" s="39"/>
      <c r="W666" s="39"/>
      <c r="Y666" s="39"/>
      <c r="Z666" s="39"/>
      <c r="AA666" s="39"/>
      <c r="AB666" s="39"/>
      <c r="AC666" s="39"/>
      <c r="AD666" s="39"/>
      <c r="AE666" s="39"/>
      <c r="AF666" s="39"/>
      <c r="AG666" s="39"/>
      <c r="AH666" s="39"/>
      <c r="AI666" s="39"/>
      <c r="AJ666" s="423"/>
      <c r="AK666" s="39"/>
      <c r="AL666" s="423"/>
      <c r="AM666" s="39"/>
      <c r="AN666" s="39"/>
      <c r="AO666" s="39"/>
      <c r="AP666" s="39"/>
    </row>
    <row r="667" spans="2:42">
      <c r="B667" s="39"/>
      <c r="C667" s="39"/>
      <c r="D667" s="39"/>
      <c r="E667" s="39"/>
      <c r="F667" s="39"/>
      <c r="G667" s="39"/>
      <c r="H667" s="39"/>
      <c r="I667" s="39"/>
      <c r="J667" s="39"/>
      <c r="K667" s="39"/>
      <c r="L667" s="100"/>
      <c r="N667" s="39"/>
      <c r="O667" s="39"/>
      <c r="P667" s="39"/>
      <c r="Q667" s="39"/>
      <c r="R667" s="39"/>
      <c r="S667" s="39"/>
      <c r="T667" s="39"/>
      <c r="U667" s="39"/>
      <c r="V667" s="39"/>
      <c r="W667" s="39"/>
      <c r="Y667" s="39"/>
      <c r="Z667" s="39"/>
      <c r="AA667" s="39"/>
      <c r="AB667" s="39"/>
      <c r="AC667" s="39"/>
      <c r="AD667" s="39"/>
      <c r="AE667" s="39"/>
      <c r="AF667" s="39"/>
      <c r="AG667" s="39"/>
      <c r="AH667" s="39"/>
      <c r="AI667" s="39"/>
      <c r="AJ667" s="423"/>
      <c r="AK667" s="39"/>
      <c r="AL667" s="423"/>
      <c r="AM667" s="39"/>
      <c r="AN667" s="39"/>
      <c r="AO667" s="39"/>
      <c r="AP667" s="39"/>
    </row>
    <row r="668" spans="2:42">
      <c r="B668" s="39"/>
      <c r="C668" s="39"/>
      <c r="D668" s="39"/>
      <c r="E668" s="39"/>
      <c r="F668" s="39"/>
      <c r="G668" s="39"/>
      <c r="H668" s="39"/>
      <c r="I668" s="39"/>
      <c r="J668" s="39"/>
      <c r="K668" s="39"/>
      <c r="L668" s="100"/>
      <c r="N668" s="39"/>
      <c r="O668" s="39"/>
      <c r="P668" s="39"/>
      <c r="Q668" s="39"/>
      <c r="R668" s="39"/>
      <c r="S668" s="39"/>
      <c r="T668" s="39"/>
      <c r="U668" s="39"/>
      <c r="V668" s="39"/>
      <c r="W668" s="39"/>
      <c r="Y668" s="39"/>
      <c r="Z668" s="39"/>
      <c r="AA668" s="39"/>
      <c r="AB668" s="39"/>
      <c r="AC668" s="39"/>
      <c r="AD668" s="39"/>
      <c r="AE668" s="39"/>
      <c r="AF668" s="39"/>
      <c r="AG668" s="39"/>
      <c r="AH668" s="39"/>
      <c r="AI668" s="39"/>
      <c r="AJ668" s="423"/>
      <c r="AK668" s="39"/>
      <c r="AL668" s="423"/>
      <c r="AM668" s="39"/>
      <c r="AN668" s="39"/>
      <c r="AO668" s="39"/>
      <c r="AP668" s="39"/>
    </row>
    <row r="669" spans="2:42">
      <c r="B669" s="39"/>
      <c r="C669" s="39"/>
      <c r="D669" s="39"/>
      <c r="E669" s="39"/>
      <c r="F669" s="39"/>
      <c r="G669" s="39"/>
      <c r="H669" s="39"/>
      <c r="I669" s="39"/>
      <c r="J669" s="39"/>
      <c r="K669" s="39"/>
      <c r="L669" s="100"/>
      <c r="N669" s="39"/>
      <c r="O669" s="39"/>
      <c r="P669" s="39"/>
      <c r="Q669" s="39"/>
      <c r="R669" s="39"/>
      <c r="S669" s="39"/>
      <c r="T669" s="39"/>
      <c r="U669" s="39"/>
      <c r="V669" s="39"/>
      <c r="W669" s="39"/>
      <c r="Y669" s="39"/>
      <c r="Z669" s="39"/>
      <c r="AA669" s="39"/>
      <c r="AB669" s="39"/>
      <c r="AC669" s="39"/>
      <c r="AD669" s="39"/>
      <c r="AE669" s="39"/>
      <c r="AF669" s="39"/>
      <c r="AG669" s="39"/>
      <c r="AH669" s="39"/>
      <c r="AI669" s="39"/>
      <c r="AJ669" s="423"/>
      <c r="AK669" s="39"/>
      <c r="AL669" s="423"/>
      <c r="AM669" s="39"/>
      <c r="AN669" s="39"/>
      <c r="AO669" s="39"/>
      <c r="AP669" s="39"/>
    </row>
    <row r="670" spans="2:42">
      <c r="B670" s="39"/>
      <c r="C670" s="39"/>
      <c r="D670" s="39"/>
      <c r="E670" s="39"/>
      <c r="F670" s="39"/>
      <c r="G670" s="39"/>
      <c r="H670" s="39"/>
      <c r="I670" s="39"/>
      <c r="J670" s="39"/>
      <c r="K670" s="39"/>
      <c r="L670" s="100"/>
      <c r="N670" s="39"/>
      <c r="O670" s="39"/>
      <c r="P670" s="39"/>
      <c r="Q670" s="39"/>
      <c r="R670" s="39"/>
      <c r="S670" s="39"/>
      <c r="T670" s="39"/>
      <c r="U670" s="39"/>
      <c r="V670" s="39"/>
      <c r="W670" s="39"/>
      <c r="Y670" s="39"/>
      <c r="Z670" s="39"/>
      <c r="AA670" s="39"/>
      <c r="AB670" s="39"/>
      <c r="AC670" s="39"/>
      <c r="AD670" s="39"/>
      <c r="AE670" s="39"/>
      <c r="AF670" s="39"/>
      <c r="AG670" s="39"/>
      <c r="AH670" s="39"/>
      <c r="AI670" s="39"/>
      <c r="AJ670" s="423"/>
      <c r="AK670" s="39"/>
      <c r="AL670" s="423"/>
      <c r="AM670" s="39"/>
      <c r="AN670" s="39"/>
      <c r="AO670" s="39"/>
      <c r="AP670" s="39"/>
    </row>
    <row r="671" spans="2:42">
      <c r="B671" s="39"/>
      <c r="C671" s="39"/>
      <c r="D671" s="39"/>
      <c r="E671" s="39"/>
      <c r="F671" s="39"/>
      <c r="G671" s="39"/>
      <c r="H671" s="39"/>
      <c r="I671" s="39"/>
      <c r="J671" s="39"/>
      <c r="K671" s="39"/>
      <c r="L671" s="100"/>
      <c r="N671" s="39"/>
      <c r="O671" s="39"/>
      <c r="P671" s="39"/>
      <c r="Q671" s="39"/>
      <c r="R671" s="39"/>
      <c r="S671" s="39"/>
      <c r="T671" s="39"/>
      <c r="U671" s="39"/>
      <c r="V671" s="39"/>
      <c r="W671" s="39"/>
      <c r="Y671" s="39"/>
      <c r="Z671" s="39"/>
      <c r="AA671" s="39"/>
      <c r="AB671" s="39"/>
      <c r="AC671" s="39"/>
      <c r="AD671" s="39"/>
      <c r="AE671" s="39"/>
      <c r="AF671" s="39"/>
      <c r="AG671" s="39"/>
      <c r="AH671" s="39"/>
      <c r="AI671" s="39"/>
      <c r="AJ671" s="423"/>
      <c r="AK671" s="39"/>
      <c r="AL671" s="423"/>
      <c r="AM671" s="39"/>
      <c r="AN671" s="39"/>
      <c r="AO671" s="39"/>
      <c r="AP671" s="39"/>
    </row>
    <row r="672" spans="2:42">
      <c r="B672" s="39"/>
      <c r="C672" s="39"/>
      <c r="D672" s="39"/>
      <c r="E672" s="39"/>
      <c r="F672" s="39"/>
      <c r="G672" s="39"/>
      <c r="H672" s="39"/>
      <c r="I672" s="39"/>
      <c r="J672" s="39"/>
      <c r="K672" s="39"/>
      <c r="L672" s="100"/>
      <c r="N672" s="39"/>
      <c r="O672" s="39"/>
      <c r="P672" s="39"/>
      <c r="Q672" s="39"/>
      <c r="R672" s="39"/>
      <c r="S672" s="39"/>
      <c r="T672" s="39"/>
      <c r="U672" s="39"/>
      <c r="V672" s="39"/>
      <c r="W672" s="39"/>
      <c r="Y672" s="39"/>
      <c r="Z672" s="39"/>
      <c r="AA672" s="39"/>
      <c r="AB672" s="39"/>
      <c r="AC672" s="39"/>
      <c r="AD672" s="39"/>
      <c r="AE672" s="39"/>
      <c r="AF672" s="39"/>
      <c r="AG672" s="39"/>
      <c r="AH672" s="39"/>
      <c r="AI672" s="39"/>
      <c r="AJ672" s="423"/>
      <c r="AK672" s="39"/>
      <c r="AL672" s="423"/>
      <c r="AM672" s="39"/>
      <c r="AN672" s="39"/>
      <c r="AO672" s="39"/>
      <c r="AP672" s="39"/>
    </row>
    <row r="673" spans="2:42">
      <c r="B673" s="39"/>
      <c r="C673" s="39"/>
      <c r="D673" s="39"/>
      <c r="E673" s="39"/>
      <c r="F673" s="39"/>
      <c r="G673" s="39"/>
      <c r="H673" s="39"/>
      <c r="I673" s="39"/>
      <c r="J673" s="39"/>
      <c r="K673" s="39"/>
      <c r="L673" s="100"/>
      <c r="N673" s="39"/>
      <c r="O673" s="39"/>
      <c r="P673" s="39"/>
      <c r="Q673" s="39"/>
      <c r="R673" s="39"/>
      <c r="S673" s="39"/>
      <c r="T673" s="39"/>
      <c r="U673" s="39"/>
      <c r="V673" s="39"/>
      <c r="W673" s="39"/>
      <c r="Y673" s="39"/>
      <c r="Z673" s="39"/>
      <c r="AA673" s="39"/>
      <c r="AB673" s="39"/>
      <c r="AC673" s="39"/>
      <c r="AD673" s="39"/>
      <c r="AE673" s="39"/>
      <c r="AF673" s="39"/>
      <c r="AG673" s="39"/>
      <c r="AH673" s="39"/>
      <c r="AI673" s="39"/>
      <c r="AJ673" s="423"/>
      <c r="AK673" s="39"/>
      <c r="AL673" s="423"/>
      <c r="AM673" s="39"/>
      <c r="AN673" s="39"/>
      <c r="AO673" s="39"/>
      <c r="AP673" s="39"/>
    </row>
    <row r="674" spans="2:42">
      <c r="B674" s="39"/>
      <c r="C674" s="39"/>
      <c r="D674" s="39"/>
      <c r="E674" s="39"/>
      <c r="F674" s="39"/>
      <c r="G674" s="39"/>
      <c r="H674" s="39"/>
      <c r="I674" s="39"/>
      <c r="J674" s="39"/>
      <c r="K674" s="39"/>
      <c r="L674" s="100"/>
      <c r="N674" s="39"/>
      <c r="O674" s="39"/>
      <c r="P674" s="39"/>
      <c r="Q674" s="39"/>
      <c r="R674" s="39"/>
      <c r="S674" s="39"/>
      <c r="T674" s="39"/>
      <c r="U674" s="39"/>
      <c r="V674" s="39"/>
      <c r="W674" s="39"/>
      <c r="Y674" s="39"/>
      <c r="Z674" s="39"/>
      <c r="AA674" s="39"/>
      <c r="AB674" s="39"/>
      <c r="AC674" s="39"/>
      <c r="AD674" s="39"/>
      <c r="AE674" s="39"/>
      <c r="AF674" s="39"/>
      <c r="AG674" s="39"/>
      <c r="AH674" s="39"/>
      <c r="AI674" s="39"/>
      <c r="AJ674" s="423"/>
      <c r="AK674" s="39"/>
      <c r="AL674" s="423"/>
      <c r="AM674" s="39"/>
      <c r="AN674" s="39"/>
      <c r="AO674" s="39"/>
      <c r="AP674" s="39"/>
    </row>
    <row r="675" spans="2:42">
      <c r="B675" s="39"/>
      <c r="C675" s="39"/>
      <c r="D675" s="39"/>
      <c r="E675" s="39"/>
      <c r="F675" s="39"/>
      <c r="G675" s="39"/>
      <c r="H675" s="39"/>
      <c r="I675" s="39"/>
      <c r="J675" s="39"/>
      <c r="K675" s="39"/>
      <c r="L675" s="100"/>
      <c r="N675" s="39"/>
      <c r="O675" s="39"/>
      <c r="P675" s="39"/>
      <c r="Q675" s="39"/>
      <c r="R675" s="39"/>
      <c r="S675" s="39"/>
      <c r="T675" s="39"/>
      <c r="U675" s="39"/>
      <c r="V675" s="39"/>
      <c r="W675" s="39"/>
      <c r="Y675" s="39"/>
      <c r="Z675" s="39"/>
      <c r="AA675" s="39"/>
      <c r="AB675" s="39"/>
      <c r="AC675" s="39"/>
      <c r="AD675" s="39"/>
      <c r="AE675" s="39"/>
      <c r="AF675" s="39"/>
      <c r="AG675" s="39"/>
      <c r="AH675" s="39"/>
      <c r="AI675" s="39"/>
      <c r="AJ675" s="423"/>
      <c r="AK675" s="39"/>
      <c r="AL675" s="423"/>
      <c r="AM675" s="39"/>
      <c r="AN675" s="39"/>
      <c r="AO675" s="39"/>
      <c r="AP675" s="39"/>
    </row>
    <row r="676" spans="2:42">
      <c r="B676" s="39"/>
      <c r="C676" s="39"/>
      <c r="D676" s="39"/>
      <c r="E676" s="39"/>
      <c r="F676" s="39"/>
      <c r="G676" s="39"/>
      <c r="H676" s="39"/>
      <c r="I676" s="39"/>
      <c r="J676" s="39"/>
      <c r="K676" s="39"/>
      <c r="L676" s="100"/>
      <c r="N676" s="39"/>
      <c r="O676" s="39"/>
      <c r="P676" s="39"/>
      <c r="Q676" s="39"/>
      <c r="R676" s="39"/>
      <c r="S676" s="39"/>
      <c r="T676" s="39"/>
      <c r="U676" s="39"/>
      <c r="V676" s="39"/>
      <c r="W676" s="39"/>
      <c r="Y676" s="39"/>
      <c r="Z676" s="39"/>
      <c r="AA676" s="39"/>
      <c r="AB676" s="39"/>
      <c r="AC676" s="39"/>
      <c r="AD676" s="39"/>
      <c r="AE676" s="39"/>
      <c r="AF676" s="39"/>
      <c r="AG676" s="39"/>
      <c r="AH676" s="39"/>
      <c r="AI676" s="39"/>
      <c r="AJ676" s="423"/>
      <c r="AK676" s="39"/>
      <c r="AL676" s="423"/>
      <c r="AM676" s="39"/>
      <c r="AN676" s="39"/>
      <c r="AO676" s="39"/>
      <c r="AP676" s="39"/>
    </row>
    <row r="677" spans="2:42">
      <c r="B677" s="39"/>
      <c r="C677" s="39"/>
      <c r="D677" s="39"/>
      <c r="E677" s="39"/>
      <c r="F677" s="39"/>
      <c r="G677" s="39"/>
      <c r="H677" s="39"/>
      <c r="I677" s="39"/>
      <c r="J677" s="39"/>
      <c r="K677" s="39"/>
      <c r="L677" s="100"/>
      <c r="N677" s="39"/>
      <c r="O677" s="39"/>
      <c r="P677" s="39"/>
      <c r="Q677" s="39"/>
      <c r="R677" s="39"/>
      <c r="S677" s="39"/>
      <c r="T677" s="39"/>
      <c r="U677" s="39"/>
      <c r="V677" s="39"/>
      <c r="W677" s="39"/>
      <c r="Y677" s="39"/>
      <c r="Z677" s="39"/>
      <c r="AA677" s="39"/>
      <c r="AB677" s="39"/>
      <c r="AC677" s="39"/>
      <c r="AD677" s="39"/>
      <c r="AE677" s="39"/>
      <c r="AF677" s="39"/>
      <c r="AG677" s="39"/>
      <c r="AH677" s="39"/>
      <c r="AI677" s="39"/>
      <c r="AJ677" s="423"/>
      <c r="AK677" s="39"/>
      <c r="AL677" s="423"/>
      <c r="AM677" s="39"/>
      <c r="AN677" s="39"/>
      <c r="AO677" s="39"/>
      <c r="AP677" s="39"/>
    </row>
    <row r="678" spans="2:42">
      <c r="B678" s="39"/>
      <c r="C678" s="39"/>
      <c r="D678" s="39"/>
      <c r="E678" s="39"/>
      <c r="F678" s="39"/>
      <c r="G678" s="39"/>
      <c r="H678" s="39"/>
      <c r="I678" s="39"/>
      <c r="J678" s="39"/>
      <c r="K678" s="39"/>
      <c r="L678" s="100"/>
      <c r="N678" s="39"/>
      <c r="O678" s="39"/>
      <c r="P678" s="39"/>
      <c r="Q678" s="39"/>
      <c r="R678" s="39"/>
      <c r="S678" s="39"/>
      <c r="T678" s="39"/>
      <c r="U678" s="39"/>
      <c r="V678" s="39"/>
      <c r="W678" s="39"/>
      <c r="Y678" s="39"/>
      <c r="Z678" s="39"/>
      <c r="AA678" s="39"/>
      <c r="AB678" s="39"/>
      <c r="AC678" s="39"/>
      <c r="AD678" s="39"/>
      <c r="AE678" s="39"/>
      <c r="AF678" s="39"/>
      <c r="AG678" s="39"/>
      <c r="AH678" s="39"/>
      <c r="AI678" s="39"/>
      <c r="AJ678" s="423"/>
      <c r="AK678" s="39"/>
      <c r="AL678" s="423"/>
      <c r="AM678" s="39"/>
      <c r="AN678" s="39"/>
      <c r="AO678" s="39"/>
      <c r="AP678" s="39"/>
    </row>
    <row r="679" spans="2:42">
      <c r="B679" s="39"/>
      <c r="C679" s="39"/>
      <c r="D679" s="39"/>
      <c r="E679" s="39"/>
      <c r="F679" s="39"/>
      <c r="G679" s="39"/>
      <c r="H679" s="39"/>
      <c r="I679" s="39"/>
      <c r="J679" s="39"/>
      <c r="K679" s="39"/>
      <c r="L679" s="100"/>
      <c r="N679" s="39"/>
      <c r="O679" s="39"/>
      <c r="P679" s="39"/>
      <c r="Q679" s="39"/>
      <c r="R679" s="39"/>
      <c r="S679" s="39"/>
      <c r="T679" s="39"/>
      <c r="U679" s="39"/>
      <c r="V679" s="39"/>
      <c r="W679" s="39"/>
      <c r="Y679" s="39"/>
      <c r="Z679" s="39"/>
      <c r="AA679" s="39"/>
      <c r="AB679" s="39"/>
      <c r="AC679" s="39"/>
      <c r="AD679" s="39"/>
      <c r="AE679" s="39"/>
      <c r="AF679" s="39"/>
      <c r="AG679" s="39"/>
      <c r="AH679" s="39"/>
      <c r="AI679" s="39"/>
      <c r="AJ679" s="423"/>
      <c r="AK679" s="39"/>
      <c r="AL679" s="423"/>
      <c r="AM679" s="39"/>
      <c r="AN679" s="39"/>
      <c r="AO679" s="39"/>
      <c r="AP679" s="39"/>
    </row>
    <row r="680" spans="2:42">
      <c r="B680" s="39"/>
      <c r="C680" s="39"/>
      <c r="D680" s="39"/>
      <c r="E680" s="39"/>
      <c r="F680" s="39"/>
      <c r="G680" s="39"/>
      <c r="H680" s="39"/>
      <c r="I680" s="39"/>
      <c r="J680" s="39"/>
      <c r="K680" s="39"/>
      <c r="L680" s="100"/>
      <c r="N680" s="39"/>
      <c r="O680" s="39"/>
      <c r="P680" s="39"/>
      <c r="Q680" s="39"/>
      <c r="R680" s="39"/>
      <c r="S680" s="39"/>
      <c r="T680" s="39"/>
      <c r="U680" s="39"/>
      <c r="V680" s="39"/>
      <c r="W680" s="39"/>
      <c r="Y680" s="39"/>
      <c r="Z680" s="39"/>
      <c r="AA680" s="39"/>
      <c r="AB680" s="39"/>
      <c r="AC680" s="39"/>
      <c r="AD680" s="39"/>
      <c r="AE680" s="39"/>
      <c r="AF680" s="39"/>
      <c r="AG680" s="39"/>
      <c r="AH680" s="39"/>
      <c r="AI680" s="39"/>
      <c r="AJ680" s="423"/>
      <c r="AK680" s="39"/>
      <c r="AL680" s="423"/>
      <c r="AM680" s="39"/>
      <c r="AN680" s="39"/>
      <c r="AO680" s="39"/>
      <c r="AP680" s="39"/>
    </row>
    <row r="681" spans="2:42">
      <c r="B681" s="39"/>
      <c r="C681" s="39"/>
      <c r="D681" s="39"/>
      <c r="E681" s="39"/>
      <c r="F681" s="39"/>
      <c r="G681" s="39"/>
      <c r="H681" s="39"/>
      <c r="I681" s="39"/>
      <c r="J681" s="39"/>
      <c r="K681" s="39"/>
      <c r="L681" s="100"/>
      <c r="N681" s="39"/>
      <c r="O681" s="39"/>
      <c r="P681" s="39"/>
      <c r="Q681" s="39"/>
      <c r="R681" s="39"/>
      <c r="S681" s="39"/>
      <c r="T681" s="39"/>
      <c r="U681" s="39"/>
      <c r="V681" s="39"/>
      <c r="W681" s="39"/>
      <c r="Y681" s="39"/>
      <c r="Z681" s="39"/>
      <c r="AA681" s="39"/>
      <c r="AB681" s="39"/>
      <c r="AC681" s="39"/>
      <c r="AD681" s="39"/>
      <c r="AE681" s="39"/>
      <c r="AF681" s="39"/>
      <c r="AG681" s="39"/>
      <c r="AH681" s="39"/>
      <c r="AI681" s="39"/>
      <c r="AJ681" s="423"/>
      <c r="AK681" s="39"/>
      <c r="AL681" s="423"/>
      <c r="AM681" s="39"/>
      <c r="AN681" s="39"/>
      <c r="AO681" s="39"/>
      <c r="AP681" s="39"/>
    </row>
    <row r="682" spans="2:42">
      <c r="B682" s="39"/>
      <c r="C682" s="39"/>
      <c r="D682" s="39"/>
      <c r="E682" s="39"/>
      <c r="F682" s="39"/>
      <c r="G682" s="39"/>
      <c r="H682" s="39"/>
      <c r="I682" s="39"/>
      <c r="J682" s="39"/>
      <c r="K682" s="39"/>
      <c r="L682" s="100"/>
      <c r="N682" s="39"/>
      <c r="O682" s="39"/>
      <c r="P682" s="39"/>
      <c r="Q682" s="39"/>
      <c r="R682" s="39"/>
      <c r="S682" s="39"/>
      <c r="T682" s="39"/>
      <c r="U682" s="39"/>
      <c r="V682" s="39"/>
      <c r="W682" s="39"/>
      <c r="Y682" s="39"/>
      <c r="Z682" s="39"/>
      <c r="AA682" s="39"/>
      <c r="AB682" s="39"/>
      <c r="AC682" s="39"/>
      <c r="AD682" s="39"/>
      <c r="AE682" s="39"/>
      <c r="AF682" s="39"/>
      <c r="AG682" s="39"/>
      <c r="AH682" s="39"/>
      <c r="AI682" s="39"/>
      <c r="AJ682" s="423"/>
      <c r="AK682" s="39"/>
      <c r="AL682" s="423"/>
      <c r="AM682" s="39"/>
      <c r="AN682" s="39"/>
      <c r="AO682" s="39"/>
      <c r="AP682" s="39"/>
    </row>
    <row r="683" spans="2:42">
      <c r="B683" s="39"/>
      <c r="C683" s="39"/>
      <c r="D683" s="39"/>
      <c r="E683" s="39"/>
      <c r="F683" s="39"/>
      <c r="G683" s="39"/>
      <c r="H683" s="39"/>
      <c r="I683" s="39"/>
      <c r="J683" s="39"/>
      <c r="K683" s="39"/>
      <c r="L683" s="100"/>
      <c r="N683" s="39"/>
      <c r="O683" s="39"/>
      <c r="P683" s="39"/>
      <c r="Q683" s="39"/>
      <c r="R683" s="39"/>
      <c r="S683" s="39"/>
      <c r="T683" s="39"/>
      <c r="U683" s="39"/>
      <c r="V683" s="39"/>
      <c r="W683" s="39"/>
      <c r="Y683" s="39"/>
      <c r="Z683" s="39"/>
      <c r="AA683" s="39"/>
      <c r="AB683" s="39"/>
      <c r="AC683" s="39"/>
      <c r="AD683" s="39"/>
      <c r="AE683" s="39"/>
      <c r="AF683" s="39"/>
      <c r="AG683" s="39"/>
      <c r="AH683" s="39"/>
      <c r="AI683" s="39"/>
      <c r="AJ683" s="423"/>
      <c r="AK683" s="39"/>
      <c r="AL683" s="423"/>
      <c r="AM683" s="39"/>
      <c r="AN683" s="39"/>
      <c r="AO683" s="39"/>
      <c r="AP683" s="39"/>
    </row>
    <row r="684" spans="2:42">
      <c r="B684" s="39"/>
      <c r="C684" s="39"/>
      <c r="D684" s="39"/>
      <c r="E684" s="39"/>
      <c r="F684" s="39"/>
      <c r="G684" s="39"/>
      <c r="H684" s="39"/>
      <c r="I684" s="39"/>
      <c r="J684" s="39"/>
      <c r="K684" s="39"/>
      <c r="L684" s="100"/>
      <c r="N684" s="39"/>
      <c r="O684" s="39"/>
      <c r="P684" s="39"/>
      <c r="Q684" s="39"/>
      <c r="R684" s="39"/>
      <c r="S684" s="39"/>
      <c r="T684" s="39"/>
      <c r="U684" s="39"/>
      <c r="V684" s="39"/>
      <c r="W684" s="39"/>
      <c r="Y684" s="39"/>
      <c r="Z684" s="39"/>
      <c r="AA684" s="39"/>
      <c r="AB684" s="39"/>
      <c r="AC684" s="39"/>
      <c r="AD684" s="39"/>
      <c r="AE684" s="39"/>
      <c r="AF684" s="39"/>
      <c r="AG684" s="39"/>
      <c r="AH684" s="39"/>
      <c r="AI684" s="39"/>
      <c r="AJ684" s="423"/>
      <c r="AK684" s="39"/>
      <c r="AL684" s="423"/>
      <c r="AM684" s="39"/>
      <c r="AN684" s="39"/>
      <c r="AO684" s="39"/>
      <c r="AP684" s="39"/>
    </row>
    <row r="685" spans="2:42">
      <c r="B685" s="39"/>
      <c r="C685" s="39"/>
      <c r="D685" s="39"/>
      <c r="E685" s="39"/>
      <c r="F685" s="39"/>
      <c r="G685" s="39"/>
      <c r="H685" s="39"/>
      <c r="I685" s="39"/>
      <c r="J685" s="39"/>
      <c r="K685" s="39"/>
      <c r="L685" s="100"/>
      <c r="N685" s="39"/>
      <c r="O685" s="39"/>
      <c r="P685" s="39"/>
      <c r="Q685" s="39"/>
      <c r="R685" s="39"/>
      <c r="S685" s="39"/>
      <c r="T685" s="39"/>
      <c r="U685" s="39"/>
      <c r="V685" s="39"/>
      <c r="W685" s="39"/>
      <c r="Y685" s="39"/>
      <c r="Z685" s="39"/>
      <c r="AA685" s="39"/>
      <c r="AB685" s="39"/>
      <c r="AC685" s="39"/>
      <c r="AD685" s="39"/>
      <c r="AE685" s="39"/>
      <c r="AF685" s="39"/>
      <c r="AG685" s="39"/>
      <c r="AH685" s="39"/>
      <c r="AI685" s="39"/>
      <c r="AJ685" s="423"/>
      <c r="AK685" s="39"/>
      <c r="AL685" s="423"/>
      <c r="AM685" s="39"/>
      <c r="AN685" s="39"/>
      <c r="AO685" s="39"/>
      <c r="AP685" s="39"/>
    </row>
    <row r="686" spans="2:42">
      <c r="B686" s="39"/>
      <c r="C686" s="39"/>
      <c r="D686" s="39"/>
      <c r="E686" s="39"/>
      <c r="F686" s="39"/>
      <c r="G686" s="39"/>
      <c r="H686" s="39"/>
      <c r="I686" s="39"/>
      <c r="J686" s="39"/>
      <c r="K686" s="39"/>
      <c r="L686" s="100"/>
      <c r="N686" s="39"/>
      <c r="O686" s="39"/>
      <c r="P686" s="39"/>
      <c r="Q686" s="39"/>
      <c r="R686" s="39"/>
      <c r="S686" s="39"/>
      <c r="T686" s="39"/>
      <c r="U686" s="39"/>
      <c r="V686" s="39"/>
      <c r="W686" s="39"/>
      <c r="Y686" s="39"/>
      <c r="Z686" s="39"/>
      <c r="AA686" s="39"/>
      <c r="AB686" s="39"/>
      <c r="AC686" s="39"/>
      <c r="AD686" s="39"/>
      <c r="AE686" s="39"/>
      <c r="AF686" s="39"/>
      <c r="AG686" s="39"/>
      <c r="AH686" s="39"/>
      <c r="AI686" s="39"/>
      <c r="AJ686" s="423"/>
      <c r="AK686" s="39"/>
      <c r="AL686" s="423"/>
      <c r="AM686" s="39"/>
      <c r="AN686" s="39"/>
      <c r="AO686" s="39"/>
      <c r="AP686" s="39"/>
    </row>
    <row r="687" spans="2:42">
      <c r="B687" s="39"/>
      <c r="C687" s="39"/>
      <c r="D687" s="39"/>
      <c r="E687" s="39"/>
      <c r="F687" s="39"/>
      <c r="G687" s="39"/>
      <c r="H687" s="39"/>
      <c r="I687" s="39"/>
      <c r="J687" s="39"/>
      <c r="K687" s="39"/>
      <c r="L687" s="100"/>
      <c r="N687" s="39"/>
      <c r="O687" s="39"/>
      <c r="P687" s="39"/>
      <c r="Q687" s="39"/>
      <c r="R687" s="39"/>
      <c r="S687" s="39"/>
      <c r="T687" s="39"/>
      <c r="U687" s="39"/>
      <c r="V687" s="39"/>
      <c r="W687" s="39"/>
      <c r="Y687" s="39"/>
      <c r="Z687" s="39"/>
      <c r="AA687" s="39"/>
      <c r="AB687" s="39"/>
      <c r="AC687" s="39"/>
      <c r="AD687" s="39"/>
      <c r="AE687" s="39"/>
      <c r="AF687" s="39"/>
      <c r="AG687" s="39"/>
      <c r="AH687" s="39"/>
      <c r="AI687" s="39"/>
      <c r="AJ687" s="423"/>
      <c r="AK687" s="39"/>
      <c r="AL687" s="423"/>
      <c r="AM687" s="39"/>
      <c r="AN687" s="39"/>
      <c r="AO687" s="39"/>
      <c r="AP687" s="39"/>
    </row>
    <row r="688" spans="2:42">
      <c r="B688" s="39"/>
      <c r="C688" s="39"/>
      <c r="D688" s="39"/>
      <c r="E688" s="39"/>
      <c r="F688" s="39"/>
      <c r="G688" s="39"/>
      <c r="H688" s="39"/>
      <c r="I688" s="39"/>
      <c r="J688" s="39"/>
      <c r="K688" s="39"/>
      <c r="L688" s="100"/>
      <c r="N688" s="39"/>
      <c r="O688" s="39"/>
      <c r="P688" s="39"/>
      <c r="Q688" s="39"/>
      <c r="R688" s="39"/>
      <c r="S688" s="39"/>
      <c r="T688" s="39"/>
      <c r="U688" s="39"/>
      <c r="V688" s="39"/>
      <c r="W688" s="39"/>
      <c r="Y688" s="39"/>
      <c r="Z688" s="39"/>
      <c r="AA688" s="39"/>
      <c r="AB688" s="39"/>
      <c r="AC688" s="39"/>
      <c r="AD688" s="39"/>
      <c r="AE688" s="39"/>
      <c r="AF688" s="39"/>
      <c r="AG688" s="39"/>
      <c r="AH688" s="39"/>
      <c r="AI688" s="39"/>
      <c r="AJ688" s="423"/>
      <c r="AK688" s="39"/>
      <c r="AL688" s="423"/>
      <c r="AM688" s="39"/>
      <c r="AN688" s="39"/>
      <c r="AO688" s="39"/>
      <c r="AP688" s="39"/>
    </row>
    <row r="689" spans="2:42">
      <c r="B689" s="39"/>
      <c r="C689" s="39"/>
      <c r="D689" s="39"/>
      <c r="E689" s="39"/>
      <c r="F689" s="39"/>
      <c r="G689" s="39"/>
      <c r="H689" s="39"/>
      <c r="I689" s="39"/>
      <c r="J689" s="39"/>
      <c r="K689" s="39"/>
      <c r="L689" s="100"/>
      <c r="N689" s="39"/>
      <c r="O689" s="39"/>
      <c r="P689" s="39"/>
      <c r="Q689" s="39"/>
      <c r="R689" s="39"/>
      <c r="S689" s="39"/>
      <c r="T689" s="39"/>
      <c r="U689" s="39"/>
      <c r="V689" s="39"/>
      <c r="W689" s="39"/>
      <c r="Y689" s="39"/>
      <c r="Z689" s="39"/>
      <c r="AA689" s="39"/>
      <c r="AB689" s="39"/>
      <c r="AC689" s="39"/>
      <c r="AD689" s="39"/>
      <c r="AE689" s="39"/>
      <c r="AF689" s="39"/>
      <c r="AG689" s="39"/>
      <c r="AH689" s="39"/>
      <c r="AI689" s="39"/>
      <c r="AJ689" s="423"/>
      <c r="AK689" s="39"/>
      <c r="AL689" s="423"/>
      <c r="AM689" s="39"/>
      <c r="AN689" s="39"/>
      <c r="AO689" s="39"/>
      <c r="AP689" s="39"/>
    </row>
    <row r="690" spans="2:42">
      <c r="B690" s="39"/>
      <c r="C690" s="39"/>
      <c r="D690" s="39"/>
      <c r="E690" s="39"/>
      <c r="F690" s="39"/>
      <c r="G690" s="39"/>
      <c r="H690" s="39"/>
      <c r="I690" s="39"/>
      <c r="J690" s="39"/>
      <c r="K690" s="39"/>
      <c r="L690" s="100"/>
      <c r="N690" s="39"/>
      <c r="O690" s="39"/>
      <c r="P690" s="39"/>
      <c r="Q690" s="39"/>
      <c r="R690" s="39"/>
      <c r="S690" s="39"/>
      <c r="T690" s="39"/>
      <c r="U690" s="39"/>
      <c r="V690" s="39"/>
      <c r="W690" s="39"/>
      <c r="Y690" s="39"/>
      <c r="Z690" s="39"/>
      <c r="AA690" s="39"/>
      <c r="AB690" s="39"/>
      <c r="AC690" s="39"/>
      <c r="AD690" s="39"/>
      <c r="AE690" s="39"/>
      <c r="AF690" s="39"/>
      <c r="AG690" s="39"/>
      <c r="AH690" s="39"/>
      <c r="AI690" s="39"/>
      <c r="AJ690" s="423"/>
      <c r="AK690" s="39"/>
      <c r="AL690" s="423"/>
      <c r="AM690" s="39"/>
      <c r="AN690" s="39"/>
      <c r="AO690" s="39"/>
      <c r="AP690" s="39"/>
    </row>
    <row r="691" spans="2:42">
      <c r="B691" s="39"/>
      <c r="C691" s="39"/>
      <c r="D691" s="39"/>
      <c r="E691" s="39"/>
      <c r="F691" s="39"/>
      <c r="G691" s="39"/>
      <c r="H691" s="39"/>
      <c r="I691" s="39"/>
      <c r="J691" s="39"/>
      <c r="K691" s="39"/>
      <c r="L691" s="100"/>
      <c r="N691" s="39"/>
      <c r="O691" s="39"/>
      <c r="P691" s="39"/>
      <c r="Q691" s="39"/>
      <c r="R691" s="39"/>
      <c r="S691" s="39"/>
      <c r="T691" s="39"/>
      <c r="U691" s="39"/>
      <c r="V691" s="39"/>
      <c r="W691" s="39"/>
      <c r="Y691" s="39"/>
      <c r="Z691" s="39"/>
      <c r="AA691" s="39"/>
      <c r="AB691" s="39"/>
      <c r="AC691" s="39"/>
      <c r="AD691" s="39"/>
      <c r="AE691" s="39"/>
      <c r="AF691" s="39"/>
      <c r="AG691" s="39"/>
      <c r="AH691" s="39"/>
      <c r="AI691" s="39"/>
      <c r="AJ691" s="423"/>
      <c r="AK691" s="39"/>
      <c r="AL691" s="423"/>
      <c r="AM691" s="39"/>
      <c r="AN691" s="39"/>
      <c r="AO691" s="39"/>
      <c r="AP691" s="39"/>
    </row>
    <row r="692" spans="2:42">
      <c r="B692" s="39"/>
      <c r="C692" s="39"/>
      <c r="D692" s="39"/>
      <c r="E692" s="39"/>
      <c r="F692" s="39"/>
      <c r="G692" s="39"/>
      <c r="H692" s="39"/>
      <c r="I692" s="39"/>
      <c r="J692" s="39"/>
      <c r="K692" s="39"/>
      <c r="L692" s="100"/>
      <c r="N692" s="39"/>
      <c r="O692" s="39"/>
      <c r="P692" s="39"/>
      <c r="Q692" s="39"/>
      <c r="R692" s="39"/>
      <c r="S692" s="39"/>
      <c r="T692" s="39"/>
      <c r="U692" s="39"/>
      <c r="V692" s="39"/>
      <c r="W692" s="39"/>
      <c r="Y692" s="39"/>
      <c r="Z692" s="39"/>
      <c r="AA692" s="39"/>
      <c r="AB692" s="39"/>
      <c r="AC692" s="39"/>
      <c r="AD692" s="39"/>
      <c r="AE692" s="39"/>
      <c r="AF692" s="39"/>
      <c r="AG692" s="39"/>
      <c r="AH692" s="39"/>
      <c r="AI692" s="39"/>
      <c r="AJ692" s="423"/>
      <c r="AK692" s="39"/>
      <c r="AL692" s="423"/>
      <c r="AM692" s="39"/>
      <c r="AN692" s="39"/>
      <c r="AO692" s="39"/>
      <c r="AP692" s="39"/>
    </row>
    <row r="693" spans="2:42">
      <c r="B693" s="39"/>
      <c r="C693" s="39"/>
      <c r="D693" s="39"/>
      <c r="E693" s="39"/>
      <c r="F693" s="39"/>
      <c r="G693" s="39"/>
      <c r="H693" s="39"/>
      <c r="I693" s="39"/>
      <c r="J693" s="39"/>
      <c r="K693" s="39"/>
      <c r="L693" s="100"/>
      <c r="N693" s="39"/>
      <c r="O693" s="39"/>
      <c r="P693" s="39"/>
      <c r="Q693" s="39"/>
      <c r="R693" s="39"/>
      <c r="S693" s="39"/>
      <c r="T693" s="39"/>
      <c r="U693" s="39"/>
      <c r="V693" s="39"/>
      <c r="W693" s="39"/>
      <c r="Y693" s="39"/>
      <c r="Z693" s="39"/>
      <c r="AA693" s="39"/>
      <c r="AB693" s="39"/>
      <c r="AC693" s="39"/>
      <c r="AD693" s="39"/>
      <c r="AE693" s="39"/>
      <c r="AF693" s="39"/>
      <c r="AG693" s="39"/>
      <c r="AH693" s="39"/>
      <c r="AI693" s="39"/>
      <c r="AJ693" s="423"/>
      <c r="AK693" s="39"/>
      <c r="AL693" s="423"/>
      <c r="AM693" s="39"/>
      <c r="AN693" s="39"/>
      <c r="AO693" s="39"/>
      <c r="AP693" s="39"/>
    </row>
    <row r="694" spans="2:42">
      <c r="B694" s="39"/>
      <c r="C694" s="39"/>
      <c r="D694" s="39"/>
      <c r="E694" s="39"/>
      <c r="F694" s="39"/>
      <c r="G694" s="39"/>
      <c r="H694" s="39"/>
      <c r="I694" s="39"/>
      <c r="J694" s="39"/>
      <c r="K694" s="39"/>
      <c r="L694" s="100"/>
      <c r="N694" s="39"/>
      <c r="O694" s="39"/>
      <c r="P694" s="39"/>
      <c r="Q694" s="39"/>
      <c r="R694" s="39"/>
      <c r="S694" s="39"/>
      <c r="T694" s="39"/>
      <c r="U694" s="39"/>
      <c r="V694" s="39"/>
      <c r="W694" s="39"/>
      <c r="Y694" s="39"/>
      <c r="Z694" s="39"/>
      <c r="AA694" s="39"/>
      <c r="AB694" s="39"/>
      <c r="AC694" s="39"/>
      <c r="AD694" s="39"/>
      <c r="AE694" s="39"/>
      <c r="AF694" s="39"/>
      <c r="AG694" s="39"/>
      <c r="AH694" s="39"/>
      <c r="AI694" s="39"/>
      <c r="AJ694" s="423"/>
      <c r="AK694" s="39"/>
      <c r="AL694" s="423"/>
      <c r="AM694" s="39"/>
      <c r="AN694" s="39"/>
      <c r="AO694" s="39"/>
      <c r="AP694" s="39"/>
    </row>
    <row r="695" spans="2:42">
      <c r="B695" s="39"/>
      <c r="C695" s="39"/>
      <c r="D695" s="39"/>
      <c r="E695" s="39"/>
      <c r="F695" s="39"/>
      <c r="G695" s="39"/>
      <c r="H695" s="39"/>
      <c r="I695" s="39"/>
      <c r="J695" s="39"/>
      <c r="K695" s="39"/>
      <c r="L695" s="100"/>
      <c r="N695" s="39"/>
      <c r="O695" s="39"/>
      <c r="P695" s="39"/>
      <c r="Q695" s="39"/>
      <c r="R695" s="39"/>
      <c r="S695" s="39"/>
      <c r="T695" s="39"/>
      <c r="U695" s="39"/>
      <c r="V695" s="39"/>
      <c r="W695" s="39"/>
      <c r="Y695" s="39"/>
      <c r="Z695" s="39"/>
      <c r="AA695" s="39"/>
      <c r="AB695" s="39"/>
      <c r="AC695" s="39"/>
      <c r="AD695" s="39"/>
      <c r="AE695" s="39"/>
      <c r="AF695" s="39"/>
      <c r="AG695" s="39"/>
      <c r="AH695" s="39"/>
      <c r="AI695" s="39"/>
      <c r="AJ695" s="423"/>
      <c r="AK695" s="39"/>
      <c r="AL695" s="423"/>
      <c r="AM695" s="39"/>
      <c r="AN695" s="39"/>
      <c r="AO695" s="39"/>
      <c r="AP695" s="39"/>
    </row>
    <row r="696" spans="2:42">
      <c r="B696" s="39"/>
      <c r="C696" s="39"/>
      <c r="D696" s="39"/>
      <c r="E696" s="39"/>
      <c r="F696" s="39"/>
      <c r="G696" s="39"/>
      <c r="H696" s="39"/>
      <c r="I696" s="39"/>
      <c r="J696" s="39"/>
      <c r="K696" s="39"/>
      <c r="L696" s="100"/>
      <c r="N696" s="39"/>
      <c r="O696" s="39"/>
      <c r="P696" s="39"/>
      <c r="Q696" s="39"/>
      <c r="R696" s="39"/>
      <c r="S696" s="39"/>
      <c r="T696" s="39"/>
      <c r="U696" s="39"/>
      <c r="V696" s="39"/>
      <c r="W696" s="39"/>
      <c r="Y696" s="39"/>
      <c r="Z696" s="39"/>
      <c r="AA696" s="39"/>
      <c r="AB696" s="39"/>
      <c r="AC696" s="39"/>
      <c r="AD696" s="39"/>
      <c r="AE696" s="39"/>
      <c r="AF696" s="39"/>
      <c r="AG696" s="39"/>
      <c r="AH696" s="39"/>
      <c r="AI696" s="39"/>
      <c r="AJ696" s="423"/>
      <c r="AK696" s="39"/>
      <c r="AL696" s="423"/>
      <c r="AM696" s="39"/>
      <c r="AN696" s="39"/>
      <c r="AO696" s="39"/>
      <c r="AP696" s="39"/>
    </row>
    <row r="697" spans="2:42">
      <c r="B697" s="39"/>
      <c r="C697" s="39"/>
      <c r="D697" s="39"/>
      <c r="E697" s="39"/>
      <c r="F697" s="39"/>
      <c r="G697" s="39"/>
      <c r="H697" s="39"/>
      <c r="I697" s="39"/>
      <c r="J697" s="39"/>
      <c r="K697" s="39"/>
      <c r="L697" s="100"/>
      <c r="N697" s="39"/>
      <c r="O697" s="39"/>
      <c r="P697" s="39"/>
      <c r="Q697" s="39"/>
      <c r="R697" s="39"/>
      <c r="S697" s="39"/>
      <c r="T697" s="39"/>
      <c r="U697" s="39"/>
      <c r="V697" s="39"/>
      <c r="W697" s="39"/>
      <c r="Y697" s="39"/>
      <c r="Z697" s="39"/>
      <c r="AA697" s="39"/>
      <c r="AB697" s="39"/>
      <c r="AC697" s="39"/>
      <c r="AD697" s="39"/>
      <c r="AE697" s="39"/>
      <c r="AF697" s="39"/>
      <c r="AG697" s="39"/>
      <c r="AH697" s="39"/>
      <c r="AI697" s="39"/>
      <c r="AJ697" s="423"/>
      <c r="AK697" s="39"/>
      <c r="AL697" s="423"/>
      <c r="AM697" s="39"/>
      <c r="AN697" s="39"/>
      <c r="AO697" s="39"/>
      <c r="AP697" s="39"/>
    </row>
    <row r="698" spans="2:42">
      <c r="B698" s="39"/>
      <c r="C698" s="39"/>
      <c r="D698" s="39"/>
      <c r="E698" s="39"/>
      <c r="F698" s="39"/>
      <c r="G698" s="39"/>
      <c r="H698" s="39"/>
      <c r="I698" s="39"/>
      <c r="J698" s="39"/>
      <c r="K698" s="39"/>
      <c r="L698" s="100"/>
      <c r="N698" s="39"/>
      <c r="O698" s="39"/>
      <c r="P698" s="39"/>
      <c r="Q698" s="39"/>
      <c r="R698" s="39"/>
      <c r="S698" s="39"/>
      <c r="T698" s="39"/>
      <c r="U698" s="39"/>
      <c r="V698" s="39"/>
      <c r="W698" s="39"/>
      <c r="Y698" s="39"/>
      <c r="Z698" s="39"/>
      <c r="AA698" s="39"/>
      <c r="AB698" s="39"/>
      <c r="AC698" s="39"/>
      <c r="AD698" s="39"/>
      <c r="AE698" s="39"/>
      <c r="AF698" s="39"/>
      <c r="AG698" s="39"/>
      <c r="AH698" s="39"/>
      <c r="AI698" s="39"/>
      <c r="AJ698" s="423"/>
      <c r="AK698" s="39"/>
      <c r="AL698" s="423"/>
      <c r="AM698" s="39"/>
      <c r="AN698" s="39"/>
      <c r="AO698" s="39"/>
      <c r="AP698" s="39"/>
    </row>
    <row r="699" spans="2:42">
      <c r="B699" s="39"/>
      <c r="C699" s="39"/>
      <c r="D699" s="39"/>
      <c r="E699" s="39"/>
      <c r="F699" s="39"/>
      <c r="G699" s="39"/>
      <c r="H699" s="39"/>
      <c r="I699" s="39"/>
      <c r="J699" s="39"/>
      <c r="K699" s="39"/>
      <c r="L699" s="100"/>
      <c r="N699" s="39"/>
      <c r="O699" s="39"/>
      <c r="P699" s="39"/>
      <c r="Q699" s="39"/>
      <c r="R699" s="39"/>
      <c r="S699" s="39"/>
      <c r="T699" s="39"/>
      <c r="U699" s="39"/>
      <c r="V699" s="39"/>
      <c r="W699" s="39"/>
      <c r="Y699" s="39"/>
      <c r="Z699" s="39"/>
      <c r="AA699" s="39"/>
      <c r="AB699" s="39"/>
      <c r="AC699" s="39"/>
      <c r="AD699" s="39"/>
      <c r="AE699" s="39"/>
      <c r="AF699" s="39"/>
      <c r="AG699" s="39"/>
      <c r="AH699" s="39"/>
      <c r="AI699" s="39"/>
      <c r="AJ699" s="423"/>
      <c r="AK699" s="39"/>
      <c r="AL699" s="423"/>
      <c r="AM699" s="39"/>
      <c r="AN699" s="39"/>
      <c r="AO699" s="39"/>
      <c r="AP699" s="39"/>
    </row>
    <row r="700" spans="2:42">
      <c r="B700" s="39"/>
      <c r="C700" s="39"/>
      <c r="D700" s="39"/>
      <c r="E700" s="39"/>
      <c r="F700" s="39"/>
      <c r="G700" s="39"/>
      <c r="H700" s="39"/>
      <c r="I700" s="39"/>
      <c r="J700" s="39"/>
      <c r="K700" s="39"/>
      <c r="L700" s="100"/>
      <c r="N700" s="39"/>
      <c r="O700" s="39"/>
      <c r="P700" s="39"/>
      <c r="Q700" s="39"/>
      <c r="R700" s="39"/>
      <c r="S700" s="39"/>
      <c r="T700" s="39"/>
      <c r="U700" s="39"/>
      <c r="V700" s="39"/>
      <c r="W700" s="39"/>
      <c r="Y700" s="39"/>
      <c r="Z700" s="39"/>
      <c r="AA700" s="39"/>
      <c r="AB700" s="39"/>
      <c r="AC700" s="39"/>
      <c r="AD700" s="39"/>
      <c r="AE700" s="39"/>
      <c r="AF700" s="39"/>
      <c r="AG700" s="39"/>
      <c r="AH700" s="39"/>
      <c r="AI700" s="39"/>
      <c r="AJ700" s="423"/>
      <c r="AK700" s="39"/>
      <c r="AL700" s="423"/>
      <c r="AM700" s="39"/>
      <c r="AN700" s="39"/>
      <c r="AO700" s="39"/>
      <c r="AP700" s="39"/>
    </row>
    <row r="701" spans="2:42">
      <c r="B701" s="39"/>
      <c r="C701" s="39"/>
      <c r="D701" s="39"/>
      <c r="E701" s="39"/>
      <c r="F701" s="39"/>
      <c r="G701" s="39"/>
      <c r="H701" s="39"/>
      <c r="I701" s="39"/>
      <c r="J701" s="39"/>
      <c r="K701" s="39"/>
      <c r="L701" s="100"/>
      <c r="N701" s="39"/>
      <c r="O701" s="39"/>
      <c r="P701" s="39"/>
      <c r="Q701" s="39"/>
      <c r="R701" s="39"/>
      <c r="S701" s="39"/>
      <c r="T701" s="39"/>
      <c r="U701" s="39"/>
      <c r="V701" s="39"/>
      <c r="W701" s="39"/>
      <c r="Y701" s="39"/>
      <c r="Z701" s="39"/>
      <c r="AA701" s="39"/>
      <c r="AB701" s="39"/>
      <c r="AC701" s="39"/>
      <c r="AD701" s="39"/>
      <c r="AE701" s="39"/>
      <c r="AF701" s="39"/>
      <c r="AG701" s="39"/>
      <c r="AH701" s="39"/>
      <c r="AI701" s="39"/>
      <c r="AJ701" s="423"/>
      <c r="AK701" s="39"/>
      <c r="AL701" s="423"/>
      <c r="AM701" s="39"/>
      <c r="AN701" s="39"/>
      <c r="AO701" s="39"/>
      <c r="AP701" s="39"/>
    </row>
    <row r="702" spans="2:42">
      <c r="B702" s="39"/>
      <c r="C702" s="39"/>
      <c r="D702" s="39"/>
      <c r="E702" s="39"/>
      <c r="F702" s="39"/>
      <c r="G702" s="39"/>
      <c r="H702" s="39"/>
      <c r="I702" s="39"/>
      <c r="J702" s="39"/>
      <c r="K702" s="39"/>
      <c r="L702" s="100"/>
      <c r="N702" s="39"/>
      <c r="O702" s="39"/>
      <c r="P702" s="39"/>
      <c r="Q702" s="39"/>
      <c r="R702" s="39"/>
      <c r="S702" s="39"/>
      <c r="T702" s="39"/>
      <c r="U702" s="39"/>
      <c r="V702" s="39"/>
      <c r="W702" s="39"/>
      <c r="Y702" s="39"/>
      <c r="Z702" s="39"/>
      <c r="AA702" s="39"/>
      <c r="AB702" s="39"/>
      <c r="AC702" s="39"/>
      <c r="AD702" s="39"/>
      <c r="AE702" s="39"/>
      <c r="AF702" s="39"/>
      <c r="AG702" s="39"/>
      <c r="AH702" s="39"/>
      <c r="AI702" s="39"/>
      <c r="AJ702" s="423"/>
      <c r="AK702" s="39"/>
      <c r="AL702" s="423"/>
      <c r="AM702" s="39"/>
      <c r="AN702" s="39"/>
      <c r="AO702" s="39"/>
      <c r="AP702" s="39"/>
    </row>
    <row r="703" spans="2:42">
      <c r="B703" s="39"/>
      <c r="C703" s="39"/>
      <c r="D703" s="39"/>
      <c r="E703" s="39"/>
      <c r="F703" s="39"/>
      <c r="G703" s="39"/>
      <c r="H703" s="39"/>
      <c r="I703" s="39"/>
      <c r="J703" s="39"/>
      <c r="K703" s="39"/>
      <c r="L703" s="100"/>
      <c r="N703" s="39"/>
      <c r="O703" s="39"/>
      <c r="P703" s="39"/>
      <c r="Q703" s="39"/>
      <c r="R703" s="39"/>
      <c r="S703" s="39"/>
      <c r="T703" s="39"/>
      <c r="U703" s="39"/>
      <c r="V703" s="39"/>
      <c r="W703" s="39"/>
      <c r="Y703" s="39"/>
      <c r="Z703" s="39"/>
      <c r="AA703" s="39"/>
      <c r="AB703" s="39"/>
      <c r="AC703" s="39"/>
      <c r="AD703" s="39"/>
      <c r="AE703" s="39"/>
      <c r="AF703" s="39"/>
      <c r="AG703" s="39"/>
      <c r="AH703" s="39"/>
      <c r="AI703" s="39"/>
      <c r="AJ703" s="423"/>
      <c r="AK703" s="39"/>
      <c r="AL703" s="423"/>
      <c r="AM703" s="39"/>
      <c r="AN703" s="39"/>
      <c r="AO703" s="39"/>
      <c r="AP703" s="39"/>
    </row>
    <row r="704" spans="2:42">
      <c r="B704" s="39"/>
      <c r="C704" s="39"/>
      <c r="D704" s="39"/>
      <c r="E704" s="39"/>
      <c r="F704" s="39"/>
      <c r="G704" s="39"/>
      <c r="H704" s="39"/>
      <c r="I704" s="39"/>
      <c r="J704" s="39"/>
      <c r="K704" s="39"/>
      <c r="L704" s="100"/>
      <c r="N704" s="39"/>
      <c r="O704" s="39"/>
      <c r="P704" s="39"/>
      <c r="Q704" s="39"/>
      <c r="R704" s="39"/>
      <c r="S704" s="39"/>
      <c r="T704" s="39"/>
      <c r="U704" s="39"/>
      <c r="V704" s="39"/>
      <c r="W704" s="39"/>
      <c r="Y704" s="39"/>
      <c r="Z704" s="39"/>
      <c r="AA704" s="39"/>
      <c r="AB704" s="39"/>
      <c r="AC704" s="39"/>
      <c r="AD704" s="39"/>
      <c r="AE704" s="39"/>
      <c r="AF704" s="39"/>
      <c r="AG704" s="39"/>
      <c r="AH704" s="39"/>
      <c r="AI704" s="39"/>
      <c r="AJ704" s="423"/>
      <c r="AK704" s="39"/>
      <c r="AL704" s="423"/>
      <c r="AM704" s="39"/>
      <c r="AN704" s="39"/>
      <c r="AO704" s="39"/>
      <c r="AP704" s="39"/>
    </row>
    <row r="705" spans="2:42">
      <c r="B705" s="39"/>
      <c r="C705" s="39"/>
      <c r="D705" s="39"/>
      <c r="E705" s="39"/>
      <c r="F705" s="39"/>
      <c r="G705" s="39"/>
      <c r="H705" s="39"/>
      <c r="I705" s="39"/>
      <c r="J705" s="39"/>
      <c r="K705" s="39"/>
      <c r="L705" s="100"/>
      <c r="N705" s="39"/>
      <c r="O705" s="39"/>
      <c r="P705" s="39"/>
      <c r="Q705" s="39"/>
      <c r="R705" s="39"/>
      <c r="S705" s="39"/>
      <c r="T705" s="39"/>
      <c r="U705" s="39"/>
      <c r="V705" s="39"/>
      <c r="W705" s="39"/>
      <c r="Y705" s="39"/>
      <c r="Z705" s="39"/>
      <c r="AA705" s="39"/>
      <c r="AB705" s="39"/>
      <c r="AC705" s="39"/>
      <c r="AD705" s="39"/>
      <c r="AE705" s="39"/>
      <c r="AF705" s="39"/>
      <c r="AG705" s="39"/>
      <c r="AH705" s="39"/>
      <c r="AI705" s="39"/>
      <c r="AJ705" s="423"/>
      <c r="AK705" s="39"/>
      <c r="AL705" s="423"/>
      <c r="AM705" s="39"/>
      <c r="AN705" s="39"/>
      <c r="AO705" s="39"/>
      <c r="AP705" s="39"/>
    </row>
    <row r="706" spans="2:42">
      <c r="B706" s="39"/>
      <c r="C706" s="39"/>
      <c r="D706" s="39"/>
      <c r="E706" s="39"/>
      <c r="F706" s="39"/>
      <c r="G706" s="39"/>
      <c r="H706" s="39"/>
      <c r="I706" s="39"/>
      <c r="J706" s="39"/>
      <c r="K706" s="39"/>
      <c r="L706" s="100"/>
      <c r="N706" s="39"/>
      <c r="O706" s="39"/>
      <c r="P706" s="39"/>
      <c r="Q706" s="39"/>
      <c r="R706" s="39"/>
      <c r="S706" s="39"/>
      <c r="T706" s="39"/>
      <c r="U706" s="39"/>
      <c r="V706" s="39"/>
      <c r="W706" s="39"/>
      <c r="Y706" s="39"/>
      <c r="Z706" s="39"/>
      <c r="AA706" s="39"/>
      <c r="AB706" s="39"/>
      <c r="AC706" s="39"/>
      <c r="AD706" s="39"/>
      <c r="AE706" s="39"/>
      <c r="AF706" s="39"/>
      <c r="AG706" s="39"/>
      <c r="AH706" s="39"/>
      <c r="AI706" s="39"/>
      <c r="AJ706" s="423"/>
      <c r="AK706" s="39"/>
      <c r="AL706" s="423"/>
      <c r="AM706" s="39"/>
      <c r="AN706" s="39"/>
      <c r="AO706" s="39"/>
      <c r="AP706" s="39"/>
    </row>
    <row r="707" spans="2:42">
      <c r="B707" s="39"/>
      <c r="C707" s="39"/>
      <c r="D707" s="39"/>
      <c r="E707" s="39"/>
      <c r="F707" s="39"/>
      <c r="G707" s="39"/>
      <c r="H707" s="39"/>
      <c r="I707" s="39"/>
      <c r="J707" s="39"/>
      <c r="K707" s="39"/>
      <c r="L707" s="100"/>
      <c r="N707" s="39"/>
      <c r="O707" s="39"/>
      <c r="P707" s="39"/>
      <c r="Q707" s="39"/>
      <c r="R707" s="39"/>
      <c r="S707" s="39"/>
      <c r="T707" s="39"/>
      <c r="U707" s="39"/>
      <c r="V707" s="39"/>
      <c r="W707" s="39"/>
      <c r="Y707" s="39"/>
      <c r="Z707" s="39"/>
      <c r="AA707" s="39"/>
      <c r="AB707" s="39"/>
      <c r="AC707" s="39"/>
      <c r="AD707" s="39"/>
      <c r="AE707" s="39"/>
      <c r="AF707" s="39"/>
      <c r="AG707" s="39"/>
      <c r="AH707" s="39"/>
      <c r="AI707" s="39"/>
      <c r="AJ707" s="423"/>
      <c r="AK707" s="39"/>
      <c r="AL707" s="423"/>
      <c r="AM707" s="39"/>
      <c r="AN707" s="39"/>
      <c r="AO707" s="39"/>
      <c r="AP707" s="39"/>
    </row>
    <row r="708" spans="2:42">
      <c r="B708" s="39"/>
      <c r="C708" s="39"/>
      <c r="D708" s="39"/>
      <c r="E708" s="39"/>
      <c r="F708" s="39"/>
      <c r="G708" s="39"/>
      <c r="H708" s="39"/>
      <c r="I708" s="39"/>
      <c r="J708" s="39"/>
      <c r="K708" s="39"/>
      <c r="L708" s="100"/>
      <c r="N708" s="39"/>
      <c r="O708" s="39"/>
      <c r="P708" s="39"/>
      <c r="Q708" s="39"/>
      <c r="R708" s="39"/>
      <c r="S708" s="39"/>
      <c r="T708" s="39"/>
      <c r="U708" s="39"/>
      <c r="V708" s="39"/>
      <c r="W708" s="39"/>
      <c r="Y708" s="39"/>
      <c r="Z708" s="39"/>
      <c r="AA708" s="39"/>
      <c r="AB708" s="39"/>
      <c r="AC708" s="39"/>
      <c r="AD708" s="39"/>
      <c r="AE708" s="39"/>
      <c r="AF708" s="39"/>
      <c r="AG708" s="39"/>
      <c r="AH708" s="39"/>
      <c r="AI708" s="39"/>
      <c r="AJ708" s="423"/>
      <c r="AK708" s="39"/>
      <c r="AL708" s="423"/>
      <c r="AM708" s="39"/>
      <c r="AN708" s="39"/>
      <c r="AO708" s="39"/>
      <c r="AP708" s="39"/>
    </row>
    <row r="709" spans="2:42">
      <c r="B709" s="39"/>
      <c r="C709" s="39"/>
      <c r="D709" s="39"/>
      <c r="E709" s="39"/>
      <c r="F709" s="39"/>
      <c r="G709" s="39"/>
      <c r="H709" s="39"/>
      <c r="I709" s="39"/>
      <c r="J709" s="39"/>
      <c r="K709" s="39"/>
      <c r="L709" s="100"/>
      <c r="N709" s="39"/>
      <c r="O709" s="39"/>
      <c r="P709" s="39"/>
      <c r="Q709" s="39"/>
      <c r="R709" s="39"/>
      <c r="S709" s="39"/>
      <c r="T709" s="39"/>
      <c r="U709" s="39"/>
      <c r="V709" s="39"/>
      <c r="W709" s="39"/>
      <c r="Y709" s="39"/>
      <c r="Z709" s="39"/>
      <c r="AA709" s="39"/>
      <c r="AB709" s="39"/>
      <c r="AC709" s="39"/>
      <c r="AD709" s="39"/>
      <c r="AE709" s="39"/>
      <c r="AF709" s="39"/>
      <c r="AG709" s="39"/>
      <c r="AH709" s="39"/>
      <c r="AI709" s="39"/>
      <c r="AJ709" s="423"/>
      <c r="AK709" s="39"/>
      <c r="AL709" s="423"/>
      <c r="AM709" s="39"/>
      <c r="AN709" s="39"/>
      <c r="AO709" s="39"/>
      <c r="AP709" s="39"/>
    </row>
    <row r="710" spans="2:42">
      <c r="B710" s="39"/>
      <c r="C710" s="39"/>
      <c r="D710" s="39"/>
      <c r="E710" s="39"/>
      <c r="F710" s="39"/>
      <c r="G710" s="39"/>
      <c r="H710" s="39"/>
      <c r="I710" s="39"/>
      <c r="J710" s="39"/>
      <c r="K710" s="39"/>
      <c r="L710" s="100"/>
      <c r="N710" s="39"/>
      <c r="O710" s="39"/>
      <c r="P710" s="39"/>
      <c r="Q710" s="39"/>
      <c r="R710" s="39"/>
      <c r="S710" s="39"/>
      <c r="T710" s="39"/>
      <c r="U710" s="39"/>
      <c r="V710" s="39"/>
      <c r="W710" s="39"/>
      <c r="Y710" s="39"/>
      <c r="Z710" s="39"/>
      <c r="AA710" s="39"/>
      <c r="AB710" s="39"/>
      <c r="AC710" s="39"/>
      <c r="AD710" s="39"/>
      <c r="AE710" s="39"/>
      <c r="AF710" s="39"/>
      <c r="AG710" s="39"/>
      <c r="AH710" s="39"/>
      <c r="AI710" s="39"/>
      <c r="AJ710" s="423"/>
      <c r="AK710" s="39"/>
      <c r="AL710" s="423"/>
      <c r="AM710" s="39"/>
      <c r="AN710" s="39"/>
      <c r="AO710" s="39"/>
      <c r="AP710" s="39"/>
    </row>
    <row r="711" spans="2:42">
      <c r="B711" s="39"/>
      <c r="C711" s="39"/>
      <c r="D711" s="39"/>
      <c r="E711" s="39"/>
      <c r="F711" s="39"/>
      <c r="G711" s="39"/>
      <c r="H711" s="39"/>
      <c r="I711" s="39"/>
      <c r="J711" s="39"/>
      <c r="K711" s="39"/>
      <c r="L711" s="100"/>
      <c r="N711" s="39"/>
      <c r="O711" s="39"/>
      <c r="P711" s="39"/>
      <c r="Q711" s="39"/>
      <c r="R711" s="39"/>
      <c r="S711" s="39"/>
      <c r="T711" s="39"/>
      <c r="U711" s="39"/>
      <c r="V711" s="39"/>
      <c r="W711" s="39"/>
      <c r="Y711" s="39"/>
      <c r="Z711" s="39"/>
      <c r="AA711" s="39"/>
      <c r="AB711" s="39"/>
      <c r="AC711" s="39"/>
      <c r="AD711" s="39"/>
      <c r="AE711" s="39"/>
      <c r="AF711" s="39"/>
      <c r="AG711" s="39"/>
      <c r="AH711" s="39"/>
      <c r="AI711" s="39"/>
      <c r="AJ711" s="423"/>
      <c r="AK711" s="39"/>
      <c r="AL711" s="423"/>
      <c r="AM711" s="39"/>
      <c r="AN711" s="39"/>
      <c r="AO711" s="39"/>
      <c r="AP711" s="39"/>
    </row>
    <row r="712" spans="2:42">
      <c r="B712" s="39"/>
      <c r="C712" s="39"/>
      <c r="D712" s="39"/>
      <c r="E712" s="39"/>
      <c r="F712" s="39"/>
      <c r="G712" s="39"/>
      <c r="H712" s="39"/>
      <c r="I712" s="39"/>
      <c r="J712" s="39"/>
      <c r="K712" s="39"/>
      <c r="L712" s="100"/>
      <c r="N712" s="39"/>
      <c r="O712" s="39"/>
      <c r="P712" s="39"/>
      <c r="Q712" s="39"/>
      <c r="R712" s="39"/>
      <c r="S712" s="39"/>
      <c r="T712" s="39"/>
      <c r="U712" s="39"/>
      <c r="V712" s="39"/>
      <c r="W712" s="39"/>
      <c r="Y712" s="39"/>
      <c r="Z712" s="39"/>
      <c r="AA712" s="39"/>
      <c r="AB712" s="39"/>
      <c r="AC712" s="39"/>
      <c r="AD712" s="39"/>
      <c r="AE712" s="39"/>
      <c r="AF712" s="39"/>
      <c r="AG712" s="39"/>
      <c r="AH712" s="39"/>
      <c r="AI712" s="39"/>
      <c r="AJ712" s="423"/>
      <c r="AK712" s="39"/>
      <c r="AL712" s="423"/>
      <c r="AM712" s="39"/>
      <c r="AN712" s="39"/>
      <c r="AO712" s="39"/>
      <c r="AP712" s="39"/>
    </row>
    <row r="713" spans="2:42">
      <c r="B713" s="39"/>
      <c r="C713" s="39"/>
      <c r="D713" s="39"/>
      <c r="E713" s="39"/>
      <c r="F713" s="39"/>
      <c r="G713" s="39"/>
      <c r="H713" s="39"/>
      <c r="I713" s="39"/>
      <c r="J713" s="39"/>
      <c r="K713" s="39"/>
      <c r="L713" s="100"/>
      <c r="N713" s="39"/>
      <c r="O713" s="39"/>
      <c r="P713" s="39"/>
      <c r="Q713" s="39"/>
      <c r="R713" s="39"/>
      <c r="S713" s="39"/>
      <c r="T713" s="39"/>
      <c r="U713" s="39"/>
      <c r="V713" s="39"/>
      <c r="W713" s="39"/>
      <c r="Y713" s="39"/>
      <c r="Z713" s="39"/>
      <c r="AA713" s="39"/>
      <c r="AB713" s="39"/>
      <c r="AC713" s="39"/>
      <c r="AD713" s="39"/>
      <c r="AE713" s="39"/>
      <c r="AF713" s="39"/>
      <c r="AG713" s="39"/>
      <c r="AH713" s="39"/>
      <c r="AI713" s="39"/>
      <c r="AJ713" s="423"/>
      <c r="AK713" s="39"/>
      <c r="AL713" s="423"/>
      <c r="AM713" s="39"/>
      <c r="AN713" s="39"/>
      <c r="AO713" s="39"/>
      <c r="AP713" s="39"/>
    </row>
    <row r="714" spans="2:42">
      <c r="B714" s="39"/>
      <c r="C714" s="39"/>
      <c r="D714" s="39"/>
      <c r="E714" s="39"/>
      <c r="F714" s="39"/>
      <c r="G714" s="39"/>
      <c r="H714" s="39"/>
      <c r="I714" s="39"/>
      <c r="J714" s="39"/>
      <c r="K714" s="39"/>
      <c r="L714" s="100"/>
      <c r="N714" s="39"/>
      <c r="O714" s="39"/>
      <c r="P714" s="39"/>
      <c r="Q714" s="39"/>
      <c r="R714" s="39"/>
      <c r="S714" s="39"/>
      <c r="T714" s="39"/>
      <c r="U714" s="39"/>
      <c r="V714" s="39"/>
      <c r="W714" s="39"/>
      <c r="Y714" s="39"/>
      <c r="Z714" s="39"/>
      <c r="AA714" s="39"/>
      <c r="AB714" s="39"/>
      <c r="AC714" s="39"/>
      <c r="AD714" s="39"/>
      <c r="AE714" s="39"/>
      <c r="AF714" s="39"/>
      <c r="AG714" s="39"/>
      <c r="AH714" s="39"/>
      <c r="AI714" s="39"/>
      <c r="AJ714" s="423"/>
      <c r="AK714" s="39"/>
      <c r="AL714" s="423"/>
      <c r="AM714" s="39"/>
      <c r="AN714" s="39"/>
      <c r="AO714" s="39"/>
      <c r="AP714" s="39"/>
    </row>
    <row r="715" spans="2:42">
      <c r="B715" s="39"/>
      <c r="C715" s="39"/>
      <c r="D715" s="39"/>
      <c r="E715" s="39"/>
      <c r="F715" s="39"/>
      <c r="G715" s="39"/>
      <c r="H715" s="39"/>
      <c r="I715" s="39"/>
      <c r="J715" s="39"/>
      <c r="K715" s="39"/>
      <c r="L715" s="100"/>
      <c r="N715" s="39"/>
      <c r="O715" s="39"/>
      <c r="P715" s="39"/>
      <c r="Q715" s="39"/>
      <c r="R715" s="39"/>
      <c r="S715" s="39"/>
      <c r="T715" s="39"/>
      <c r="U715" s="39"/>
      <c r="V715" s="39"/>
      <c r="W715" s="39"/>
      <c r="Y715" s="39"/>
      <c r="Z715" s="39"/>
      <c r="AA715" s="39"/>
      <c r="AB715" s="39"/>
      <c r="AC715" s="39"/>
      <c r="AD715" s="39"/>
      <c r="AE715" s="39"/>
      <c r="AF715" s="39"/>
      <c r="AG715" s="39"/>
      <c r="AH715" s="39"/>
      <c r="AI715" s="39"/>
      <c r="AJ715" s="423"/>
      <c r="AK715" s="39"/>
      <c r="AL715" s="423"/>
      <c r="AM715" s="39"/>
      <c r="AN715" s="39"/>
      <c r="AO715" s="39"/>
      <c r="AP715" s="39"/>
    </row>
    <row r="716" spans="2:42">
      <c r="B716" s="39"/>
      <c r="C716" s="39"/>
      <c r="D716" s="39"/>
      <c r="E716" s="39"/>
      <c r="F716" s="39"/>
      <c r="G716" s="39"/>
      <c r="H716" s="39"/>
      <c r="I716" s="39"/>
      <c r="J716" s="39"/>
      <c r="K716" s="39"/>
      <c r="L716" s="100"/>
      <c r="N716" s="39"/>
      <c r="O716" s="39"/>
      <c r="P716" s="39"/>
      <c r="Q716" s="39"/>
      <c r="R716" s="39"/>
      <c r="S716" s="39"/>
      <c r="T716" s="39"/>
      <c r="U716" s="39"/>
      <c r="V716" s="39"/>
      <c r="W716" s="39"/>
      <c r="Y716" s="39"/>
      <c r="Z716" s="39"/>
      <c r="AA716" s="39"/>
      <c r="AB716" s="39"/>
      <c r="AC716" s="39"/>
      <c r="AD716" s="39"/>
      <c r="AE716" s="39"/>
      <c r="AF716" s="39"/>
      <c r="AG716" s="39"/>
      <c r="AH716" s="39"/>
      <c r="AI716" s="39"/>
      <c r="AJ716" s="423"/>
      <c r="AK716" s="39"/>
      <c r="AL716" s="423"/>
      <c r="AM716" s="39"/>
      <c r="AN716" s="39"/>
      <c r="AO716" s="39"/>
      <c r="AP716" s="39"/>
    </row>
    <row r="717" spans="2:42">
      <c r="B717" s="39"/>
      <c r="C717" s="39"/>
      <c r="D717" s="39"/>
      <c r="E717" s="39"/>
      <c r="F717" s="39"/>
      <c r="G717" s="39"/>
      <c r="H717" s="39"/>
      <c r="I717" s="39"/>
      <c r="J717" s="39"/>
      <c r="K717" s="39"/>
      <c r="L717" s="100"/>
      <c r="N717" s="39"/>
      <c r="O717" s="39"/>
      <c r="P717" s="39"/>
      <c r="Q717" s="39"/>
      <c r="R717" s="39"/>
      <c r="S717" s="39"/>
      <c r="T717" s="39"/>
      <c r="U717" s="39"/>
      <c r="V717" s="39"/>
      <c r="W717" s="39"/>
      <c r="Y717" s="39"/>
      <c r="Z717" s="39"/>
      <c r="AA717" s="39"/>
      <c r="AB717" s="39"/>
      <c r="AC717" s="39"/>
      <c r="AD717" s="39"/>
      <c r="AE717" s="39"/>
      <c r="AF717" s="39"/>
      <c r="AG717" s="39"/>
      <c r="AH717" s="39"/>
      <c r="AI717" s="39"/>
      <c r="AJ717" s="423"/>
      <c r="AK717" s="39"/>
      <c r="AL717" s="423"/>
      <c r="AM717" s="39"/>
      <c r="AN717" s="39"/>
      <c r="AO717" s="39"/>
      <c r="AP717" s="39"/>
    </row>
    <row r="718" spans="2:42">
      <c r="B718" s="39"/>
      <c r="C718" s="39"/>
      <c r="D718" s="39"/>
      <c r="E718" s="39"/>
      <c r="F718" s="39"/>
      <c r="G718" s="39"/>
      <c r="H718" s="39"/>
      <c r="I718" s="39"/>
      <c r="J718" s="39"/>
      <c r="K718" s="39"/>
      <c r="L718" s="100"/>
      <c r="N718" s="39"/>
      <c r="O718" s="39"/>
      <c r="P718" s="39"/>
      <c r="Q718" s="39"/>
      <c r="R718" s="39"/>
      <c r="S718" s="39"/>
      <c r="T718" s="39"/>
      <c r="U718" s="39"/>
      <c r="V718" s="39"/>
      <c r="W718" s="39"/>
      <c r="Y718" s="39"/>
      <c r="Z718" s="39"/>
      <c r="AA718" s="39"/>
      <c r="AB718" s="39"/>
      <c r="AC718" s="39"/>
      <c r="AD718" s="39"/>
      <c r="AE718" s="39"/>
      <c r="AF718" s="39"/>
      <c r="AG718" s="39"/>
      <c r="AH718" s="39"/>
      <c r="AI718" s="39"/>
      <c r="AJ718" s="423"/>
      <c r="AK718" s="39"/>
      <c r="AL718" s="423"/>
      <c r="AM718" s="39"/>
      <c r="AN718" s="39"/>
      <c r="AO718" s="39"/>
      <c r="AP718" s="39"/>
    </row>
    <row r="719" spans="2:42">
      <c r="B719" s="39"/>
      <c r="C719" s="39"/>
      <c r="D719" s="39"/>
      <c r="E719" s="39"/>
      <c r="F719" s="39"/>
      <c r="G719" s="39"/>
      <c r="H719" s="39"/>
      <c r="I719" s="39"/>
      <c r="J719" s="39"/>
      <c r="K719" s="39"/>
      <c r="L719" s="100"/>
      <c r="N719" s="39"/>
      <c r="O719" s="39"/>
      <c r="P719" s="39"/>
      <c r="Q719" s="39"/>
      <c r="R719" s="39"/>
      <c r="S719" s="39"/>
      <c r="T719" s="39"/>
      <c r="U719" s="39"/>
      <c r="V719" s="39"/>
      <c r="W719" s="39"/>
      <c r="Y719" s="39"/>
      <c r="Z719" s="39"/>
      <c r="AA719" s="39"/>
      <c r="AB719" s="39"/>
      <c r="AC719" s="39"/>
      <c r="AD719" s="39"/>
      <c r="AE719" s="39"/>
      <c r="AF719" s="39"/>
      <c r="AG719" s="39"/>
      <c r="AH719" s="39"/>
      <c r="AI719" s="39"/>
      <c r="AJ719" s="423"/>
      <c r="AK719" s="39"/>
      <c r="AL719" s="423"/>
      <c r="AM719" s="39"/>
      <c r="AN719" s="39"/>
      <c r="AO719" s="39"/>
      <c r="AP719" s="39"/>
    </row>
    <row r="720" spans="2:42">
      <c r="B720" s="39"/>
      <c r="C720" s="39"/>
      <c r="D720" s="39"/>
      <c r="E720" s="39"/>
      <c r="F720" s="39"/>
      <c r="G720" s="39"/>
      <c r="H720" s="39"/>
      <c r="I720" s="39"/>
      <c r="J720" s="39"/>
      <c r="K720" s="39"/>
      <c r="L720" s="100"/>
      <c r="N720" s="39"/>
      <c r="O720" s="39"/>
      <c r="P720" s="39"/>
      <c r="Q720" s="39"/>
      <c r="R720" s="39"/>
      <c r="S720" s="39"/>
      <c r="T720" s="39"/>
      <c r="U720" s="39"/>
      <c r="V720" s="39"/>
      <c r="W720" s="39"/>
      <c r="Y720" s="39"/>
      <c r="Z720" s="39"/>
      <c r="AA720" s="39"/>
      <c r="AB720" s="39"/>
      <c r="AC720" s="39"/>
      <c r="AD720" s="39"/>
      <c r="AE720" s="39"/>
      <c r="AF720" s="39"/>
      <c r="AG720" s="39"/>
      <c r="AH720" s="39"/>
      <c r="AI720" s="39"/>
      <c r="AJ720" s="423"/>
      <c r="AK720" s="39"/>
      <c r="AL720" s="423"/>
      <c r="AM720" s="39"/>
      <c r="AN720" s="39"/>
      <c r="AO720" s="39"/>
      <c r="AP720" s="39"/>
    </row>
    <row r="721" spans="2:42">
      <c r="B721" s="39"/>
      <c r="C721" s="39"/>
      <c r="D721" s="39"/>
      <c r="E721" s="39"/>
      <c r="F721" s="39"/>
      <c r="G721" s="39"/>
      <c r="H721" s="39"/>
      <c r="I721" s="39"/>
      <c r="J721" s="39"/>
      <c r="K721" s="39"/>
      <c r="L721" s="100"/>
      <c r="N721" s="39"/>
      <c r="O721" s="39"/>
      <c r="P721" s="39"/>
      <c r="Q721" s="39"/>
      <c r="R721" s="39"/>
      <c r="S721" s="39"/>
      <c r="T721" s="39"/>
      <c r="U721" s="39"/>
      <c r="V721" s="39"/>
      <c r="W721" s="39"/>
      <c r="Y721" s="39"/>
      <c r="Z721" s="39"/>
      <c r="AA721" s="39"/>
      <c r="AB721" s="39"/>
      <c r="AC721" s="39"/>
      <c r="AD721" s="39"/>
      <c r="AE721" s="39"/>
      <c r="AF721" s="39"/>
      <c r="AG721" s="39"/>
      <c r="AH721" s="39"/>
      <c r="AI721" s="39"/>
      <c r="AJ721" s="423"/>
      <c r="AK721" s="39"/>
      <c r="AL721" s="423"/>
      <c r="AM721" s="39"/>
      <c r="AN721" s="39"/>
      <c r="AO721" s="39"/>
      <c r="AP721" s="39"/>
    </row>
    <row r="722" spans="2:42">
      <c r="B722" s="39"/>
      <c r="C722" s="39"/>
      <c r="D722" s="39"/>
      <c r="E722" s="39"/>
      <c r="F722" s="39"/>
      <c r="G722" s="39"/>
      <c r="H722" s="39"/>
      <c r="I722" s="39"/>
      <c r="J722" s="39"/>
      <c r="K722" s="39"/>
      <c r="L722" s="100"/>
      <c r="N722" s="39"/>
      <c r="O722" s="39"/>
      <c r="P722" s="39"/>
      <c r="Q722" s="39"/>
      <c r="R722" s="39"/>
      <c r="S722" s="39"/>
      <c r="T722" s="39"/>
      <c r="U722" s="39"/>
      <c r="V722" s="39"/>
      <c r="W722" s="39"/>
      <c r="Y722" s="39"/>
      <c r="Z722" s="39"/>
      <c r="AA722" s="39"/>
      <c r="AB722" s="39"/>
      <c r="AC722" s="39"/>
      <c r="AD722" s="39"/>
      <c r="AE722" s="39"/>
      <c r="AF722" s="39"/>
      <c r="AG722" s="39"/>
      <c r="AH722" s="39"/>
      <c r="AI722" s="39"/>
      <c r="AJ722" s="423"/>
      <c r="AK722" s="39"/>
      <c r="AL722" s="423"/>
      <c r="AM722" s="39"/>
      <c r="AN722" s="39"/>
      <c r="AO722" s="39"/>
      <c r="AP722" s="39"/>
    </row>
    <row r="723" spans="2:42">
      <c r="B723" s="39"/>
      <c r="C723" s="39"/>
      <c r="D723" s="39"/>
      <c r="E723" s="39"/>
      <c r="F723" s="39"/>
      <c r="G723" s="39"/>
      <c r="H723" s="39"/>
      <c r="I723" s="39"/>
      <c r="J723" s="39"/>
      <c r="K723" s="39"/>
      <c r="L723" s="100"/>
      <c r="N723" s="39"/>
      <c r="O723" s="39"/>
      <c r="P723" s="39"/>
      <c r="Q723" s="39"/>
      <c r="R723" s="39"/>
      <c r="S723" s="39"/>
      <c r="T723" s="39"/>
      <c r="U723" s="39"/>
      <c r="V723" s="39"/>
      <c r="W723" s="39"/>
      <c r="Y723" s="39"/>
      <c r="Z723" s="39"/>
      <c r="AA723" s="39"/>
      <c r="AB723" s="39"/>
      <c r="AC723" s="39"/>
      <c r="AD723" s="39"/>
      <c r="AE723" s="39"/>
      <c r="AF723" s="39"/>
      <c r="AG723" s="39"/>
      <c r="AH723" s="39"/>
      <c r="AI723" s="39"/>
      <c r="AJ723" s="423"/>
      <c r="AK723" s="39"/>
      <c r="AL723" s="423"/>
      <c r="AM723" s="39"/>
      <c r="AN723" s="39"/>
      <c r="AO723" s="39"/>
      <c r="AP723" s="39"/>
    </row>
    <row r="724" spans="2:42">
      <c r="B724" s="39"/>
      <c r="C724" s="39"/>
      <c r="D724" s="39"/>
      <c r="E724" s="39"/>
      <c r="F724" s="39"/>
      <c r="G724" s="39"/>
      <c r="H724" s="39"/>
      <c r="I724" s="39"/>
      <c r="J724" s="39"/>
      <c r="K724" s="39"/>
      <c r="L724" s="100"/>
      <c r="N724" s="39"/>
      <c r="O724" s="39"/>
      <c r="P724" s="39"/>
      <c r="Q724" s="39"/>
      <c r="R724" s="39"/>
      <c r="S724" s="39"/>
      <c r="T724" s="39"/>
      <c r="U724" s="39"/>
      <c r="V724" s="39"/>
      <c r="W724" s="39"/>
      <c r="Y724" s="39"/>
      <c r="Z724" s="39"/>
      <c r="AA724" s="39"/>
      <c r="AB724" s="39"/>
      <c r="AC724" s="39"/>
      <c r="AD724" s="39"/>
      <c r="AE724" s="39"/>
      <c r="AF724" s="39"/>
      <c r="AG724" s="39"/>
      <c r="AH724" s="39"/>
      <c r="AI724" s="39"/>
      <c r="AJ724" s="423"/>
      <c r="AK724" s="39"/>
      <c r="AL724" s="423"/>
      <c r="AM724" s="39"/>
      <c r="AN724" s="39"/>
      <c r="AO724" s="39"/>
      <c r="AP724" s="39"/>
    </row>
    <row r="725" spans="2:42">
      <c r="B725" s="39"/>
      <c r="C725" s="39"/>
      <c r="D725" s="39"/>
      <c r="E725" s="39"/>
      <c r="F725" s="39"/>
      <c r="G725" s="39"/>
      <c r="H725" s="39"/>
      <c r="I725" s="39"/>
      <c r="J725" s="39"/>
      <c r="K725" s="39"/>
      <c r="L725" s="100"/>
      <c r="N725" s="39"/>
      <c r="O725" s="39"/>
      <c r="P725" s="39"/>
      <c r="Q725" s="39"/>
      <c r="R725" s="39"/>
      <c r="S725" s="39"/>
      <c r="T725" s="39"/>
      <c r="U725" s="39"/>
      <c r="V725" s="39"/>
      <c r="W725" s="39"/>
      <c r="Y725" s="39"/>
      <c r="Z725" s="39"/>
      <c r="AA725" s="39"/>
      <c r="AB725" s="39"/>
      <c r="AC725" s="39"/>
      <c r="AD725" s="39"/>
      <c r="AE725" s="39"/>
      <c r="AF725" s="39"/>
      <c r="AG725" s="39"/>
      <c r="AH725" s="39"/>
      <c r="AI725" s="39"/>
      <c r="AJ725" s="423"/>
      <c r="AK725" s="39"/>
      <c r="AL725" s="423"/>
      <c r="AM725" s="39"/>
      <c r="AN725" s="39"/>
      <c r="AO725" s="39"/>
      <c r="AP725" s="39"/>
    </row>
    <row r="726" spans="2:42">
      <c r="B726" s="39"/>
      <c r="C726" s="39"/>
      <c r="D726" s="39"/>
      <c r="E726" s="39"/>
      <c r="F726" s="39"/>
      <c r="G726" s="39"/>
      <c r="H726" s="39"/>
      <c r="I726" s="39"/>
      <c r="J726" s="39"/>
      <c r="K726" s="39"/>
      <c r="L726" s="100"/>
      <c r="N726" s="39"/>
      <c r="O726" s="39"/>
      <c r="P726" s="39"/>
      <c r="Q726" s="39"/>
      <c r="R726" s="39"/>
      <c r="S726" s="39"/>
      <c r="T726" s="39"/>
      <c r="U726" s="39"/>
      <c r="V726" s="39"/>
      <c r="W726" s="39"/>
      <c r="Y726" s="39"/>
      <c r="Z726" s="39"/>
      <c r="AA726" s="39"/>
      <c r="AB726" s="39"/>
      <c r="AC726" s="39"/>
      <c r="AD726" s="39"/>
      <c r="AE726" s="39"/>
      <c r="AF726" s="39"/>
      <c r="AG726" s="39"/>
      <c r="AH726" s="39"/>
      <c r="AI726" s="39"/>
      <c r="AJ726" s="423"/>
      <c r="AK726" s="39"/>
      <c r="AL726" s="423"/>
      <c r="AM726" s="39"/>
      <c r="AN726" s="39"/>
      <c r="AO726" s="39"/>
      <c r="AP726" s="39"/>
    </row>
    <row r="727" spans="2:42">
      <c r="B727" s="39"/>
      <c r="C727" s="39"/>
      <c r="D727" s="39"/>
      <c r="E727" s="39"/>
      <c r="F727" s="39"/>
      <c r="G727" s="39"/>
      <c r="H727" s="39"/>
      <c r="I727" s="39"/>
      <c r="J727" s="39"/>
      <c r="K727" s="39"/>
      <c r="L727" s="100"/>
      <c r="N727" s="39"/>
      <c r="O727" s="39"/>
      <c r="P727" s="39"/>
      <c r="Q727" s="39"/>
      <c r="R727" s="39"/>
      <c r="S727" s="39"/>
      <c r="T727" s="39"/>
      <c r="U727" s="39"/>
      <c r="V727" s="39"/>
      <c r="W727" s="39"/>
      <c r="Y727" s="39"/>
      <c r="Z727" s="39"/>
      <c r="AA727" s="39"/>
      <c r="AB727" s="39"/>
      <c r="AC727" s="39"/>
      <c r="AD727" s="39"/>
      <c r="AE727" s="39"/>
      <c r="AF727" s="39"/>
      <c r="AG727" s="39"/>
      <c r="AH727" s="39"/>
      <c r="AI727" s="39"/>
      <c r="AJ727" s="423"/>
      <c r="AK727" s="39"/>
      <c r="AL727" s="423"/>
      <c r="AM727" s="39"/>
      <c r="AN727" s="39"/>
      <c r="AO727" s="39"/>
      <c r="AP727" s="39"/>
    </row>
    <row r="728" spans="2:42">
      <c r="B728" s="39"/>
      <c r="C728" s="39"/>
      <c r="D728" s="39"/>
      <c r="E728" s="39"/>
      <c r="F728" s="39"/>
      <c r="G728" s="39"/>
      <c r="H728" s="39"/>
      <c r="I728" s="39"/>
      <c r="J728" s="39"/>
      <c r="K728" s="39"/>
      <c r="L728" s="100"/>
      <c r="N728" s="39"/>
      <c r="O728" s="39"/>
      <c r="P728" s="39"/>
      <c r="Q728" s="39"/>
      <c r="R728" s="39"/>
      <c r="S728" s="39"/>
      <c r="T728" s="39"/>
      <c r="U728" s="39"/>
      <c r="V728" s="39"/>
      <c r="W728" s="39"/>
      <c r="Y728" s="39"/>
      <c r="Z728" s="39"/>
      <c r="AA728" s="39"/>
      <c r="AB728" s="39"/>
      <c r="AC728" s="39"/>
      <c r="AD728" s="39"/>
      <c r="AE728" s="39"/>
      <c r="AF728" s="39"/>
      <c r="AG728" s="39"/>
      <c r="AH728" s="39"/>
      <c r="AI728" s="39"/>
      <c r="AJ728" s="423"/>
      <c r="AK728" s="39"/>
      <c r="AL728" s="423"/>
      <c r="AM728" s="39"/>
      <c r="AN728" s="39"/>
      <c r="AO728" s="39"/>
      <c r="AP728" s="39"/>
    </row>
    <row r="729" spans="2:42">
      <c r="B729" s="39"/>
      <c r="C729" s="39"/>
      <c r="D729" s="39"/>
      <c r="E729" s="39"/>
      <c r="F729" s="39"/>
      <c r="G729" s="39"/>
      <c r="H729" s="39"/>
      <c r="I729" s="39"/>
      <c r="J729" s="39"/>
      <c r="K729" s="39"/>
      <c r="L729" s="100"/>
      <c r="N729" s="39"/>
      <c r="O729" s="39"/>
      <c r="P729" s="39"/>
      <c r="Q729" s="39"/>
      <c r="R729" s="39"/>
      <c r="S729" s="39"/>
      <c r="T729" s="39"/>
      <c r="U729" s="39"/>
      <c r="V729" s="39"/>
      <c r="W729" s="39"/>
      <c r="Y729" s="39"/>
      <c r="Z729" s="39"/>
      <c r="AA729" s="39"/>
      <c r="AB729" s="39"/>
      <c r="AC729" s="39"/>
      <c r="AD729" s="39"/>
      <c r="AE729" s="39"/>
      <c r="AF729" s="39"/>
      <c r="AG729" s="39"/>
      <c r="AH729" s="39"/>
      <c r="AI729" s="39"/>
      <c r="AJ729" s="423"/>
      <c r="AK729" s="39"/>
      <c r="AL729" s="423"/>
      <c r="AM729" s="39"/>
      <c r="AN729" s="39"/>
      <c r="AO729" s="39"/>
      <c r="AP729" s="39"/>
    </row>
    <row r="730" spans="2:42">
      <c r="B730" s="39"/>
      <c r="C730" s="39"/>
      <c r="D730" s="39"/>
      <c r="E730" s="39"/>
      <c r="F730" s="39"/>
      <c r="G730" s="39"/>
      <c r="H730" s="39"/>
      <c r="I730" s="39"/>
      <c r="J730" s="39"/>
      <c r="K730" s="39"/>
      <c r="L730" s="100"/>
      <c r="N730" s="39"/>
      <c r="O730" s="39"/>
      <c r="P730" s="39"/>
      <c r="Q730" s="39"/>
      <c r="R730" s="39"/>
      <c r="S730" s="39"/>
      <c r="T730" s="39"/>
      <c r="U730" s="39"/>
      <c r="V730" s="39"/>
      <c r="W730" s="39"/>
      <c r="Y730" s="39"/>
      <c r="Z730" s="39"/>
      <c r="AA730" s="39"/>
      <c r="AB730" s="39"/>
      <c r="AC730" s="39"/>
      <c r="AD730" s="39"/>
      <c r="AE730" s="39"/>
      <c r="AF730" s="39"/>
      <c r="AG730" s="39"/>
      <c r="AH730" s="39"/>
      <c r="AI730" s="39"/>
      <c r="AJ730" s="423"/>
      <c r="AK730" s="39"/>
      <c r="AL730" s="423"/>
      <c r="AM730" s="39"/>
      <c r="AN730" s="39"/>
      <c r="AO730" s="39"/>
      <c r="AP730" s="39"/>
    </row>
    <row r="731" spans="2:42">
      <c r="B731" s="39"/>
      <c r="C731" s="39"/>
      <c r="D731" s="39"/>
      <c r="E731" s="39"/>
      <c r="F731" s="39"/>
      <c r="G731" s="39"/>
      <c r="H731" s="39"/>
      <c r="I731" s="39"/>
      <c r="J731" s="39"/>
      <c r="K731" s="39"/>
      <c r="L731" s="100"/>
      <c r="N731" s="39"/>
      <c r="O731" s="39"/>
      <c r="P731" s="39"/>
      <c r="Q731" s="39"/>
      <c r="R731" s="39"/>
      <c r="S731" s="39"/>
      <c r="T731" s="39"/>
      <c r="U731" s="39"/>
      <c r="V731" s="39"/>
      <c r="W731" s="39"/>
      <c r="Y731" s="39"/>
      <c r="Z731" s="39"/>
      <c r="AA731" s="39"/>
      <c r="AB731" s="39"/>
      <c r="AC731" s="39"/>
      <c r="AD731" s="39"/>
      <c r="AE731" s="39"/>
      <c r="AF731" s="39"/>
      <c r="AG731" s="39"/>
      <c r="AH731" s="39"/>
      <c r="AI731" s="39"/>
      <c r="AJ731" s="423"/>
      <c r="AK731" s="39"/>
      <c r="AL731" s="423"/>
      <c r="AM731" s="39"/>
      <c r="AN731" s="39"/>
      <c r="AO731" s="39"/>
      <c r="AP731" s="39"/>
    </row>
    <row r="732" spans="2:42">
      <c r="B732" s="39"/>
      <c r="C732" s="39"/>
      <c r="D732" s="39"/>
      <c r="E732" s="39"/>
      <c r="F732" s="39"/>
      <c r="G732" s="39"/>
      <c r="H732" s="39"/>
      <c r="I732" s="39"/>
      <c r="J732" s="39"/>
      <c r="K732" s="39"/>
      <c r="L732" s="100"/>
      <c r="N732" s="39"/>
      <c r="O732" s="39"/>
      <c r="P732" s="39"/>
      <c r="Q732" s="39"/>
      <c r="R732" s="39"/>
      <c r="S732" s="39"/>
      <c r="T732" s="39"/>
      <c r="U732" s="39"/>
      <c r="V732" s="39"/>
      <c r="W732" s="39"/>
      <c r="Y732" s="39"/>
      <c r="Z732" s="39"/>
      <c r="AA732" s="39"/>
      <c r="AB732" s="39"/>
      <c r="AC732" s="39"/>
      <c r="AD732" s="39"/>
      <c r="AE732" s="39"/>
      <c r="AF732" s="39"/>
      <c r="AG732" s="39"/>
      <c r="AH732" s="39"/>
      <c r="AI732" s="39"/>
      <c r="AJ732" s="423"/>
      <c r="AK732" s="39"/>
      <c r="AL732" s="423"/>
      <c r="AM732" s="39"/>
      <c r="AN732" s="39"/>
      <c r="AO732" s="39"/>
      <c r="AP732" s="39"/>
    </row>
    <row r="733" spans="2:42">
      <c r="B733" s="39"/>
      <c r="C733" s="39"/>
      <c r="D733" s="39"/>
      <c r="E733" s="39"/>
      <c r="F733" s="39"/>
      <c r="G733" s="39"/>
      <c r="H733" s="39"/>
      <c r="I733" s="39"/>
      <c r="J733" s="39"/>
      <c r="K733" s="39"/>
      <c r="L733" s="100"/>
      <c r="N733" s="39"/>
      <c r="O733" s="39"/>
      <c r="P733" s="39"/>
      <c r="Q733" s="39"/>
      <c r="R733" s="39"/>
      <c r="S733" s="39"/>
      <c r="T733" s="39"/>
      <c r="U733" s="39"/>
      <c r="V733" s="39"/>
      <c r="W733" s="39"/>
      <c r="Y733" s="39"/>
      <c r="Z733" s="39"/>
      <c r="AA733" s="39"/>
      <c r="AB733" s="39"/>
      <c r="AC733" s="39"/>
      <c r="AD733" s="39"/>
      <c r="AE733" s="39"/>
      <c r="AF733" s="39"/>
      <c r="AG733" s="39"/>
      <c r="AH733" s="39"/>
      <c r="AI733" s="39"/>
      <c r="AJ733" s="423"/>
      <c r="AK733" s="39"/>
      <c r="AL733" s="423"/>
      <c r="AM733" s="39"/>
      <c r="AN733" s="39"/>
      <c r="AO733" s="39"/>
      <c r="AP733" s="39"/>
    </row>
    <row r="734" spans="2:42">
      <c r="B734" s="39"/>
      <c r="C734" s="39"/>
      <c r="D734" s="39"/>
      <c r="E734" s="39"/>
      <c r="F734" s="39"/>
      <c r="G734" s="39"/>
      <c r="H734" s="39"/>
      <c r="I734" s="39"/>
      <c r="J734" s="39"/>
      <c r="K734" s="39"/>
      <c r="L734" s="100"/>
      <c r="N734" s="39"/>
      <c r="O734" s="39"/>
      <c r="P734" s="39"/>
      <c r="Q734" s="39"/>
      <c r="R734" s="39"/>
      <c r="S734" s="39"/>
      <c r="T734" s="39"/>
      <c r="U734" s="39"/>
      <c r="V734" s="39"/>
      <c r="W734" s="39"/>
      <c r="Y734" s="39"/>
      <c r="Z734" s="39"/>
      <c r="AA734" s="39"/>
      <c r="AB734" s="39"/>
      <c r="AC734" s="39"/>
      <c r="AD734" s="39"/>
      <c r="AE734" s="39"/>
      <c r="AF734" s="39"/>
      <c r="AG734" s="39"/>
      <c r="AH734" s="39"/>
      <c r="AI734" s="39"/>
      <c r="AJ734" s="423"/>
      <c r="AK734" s="39"/>
      <c r="AL734" s="423"/>
      <c r="AM734" s="39"/>
      <c r="AN734" s="39"/>
      <c r="AO734" s="39"/>
      <c r="AP734" s="39"/>
    </row>
    <row r="735" spans="2:42">
      <c r="B735" s="39"/>
      <c r="C735" s="39"/>
      <c r="D735" s="39"/>
      <c r="E735" s="39"/>
      <c r="F735" s="39"/>
      <c r="G735" s="39"/>
      <c r="H735" s="39"/>
      <c r="I735" s="39"/>
      <c r="J735" s="39"/>
      <c r="K735" s="39"/>
      <c r="L735" s="100"/>
      <c r="N735" s="39"/>
      <c r="O735" s="39"/>
      <c r="P735" s="39"/>
      <c r="Q735" s="39"/>
      <c r="R735" s="39"/>
      <c r="S735" s="39"/>
      <c r="T735" s="39"/>
      <c r="U735" s="39"/>
      <c r="V735" s="39"/>
      <c r="W735" s="39"/>
      <c r="Y735" s="39"/>
      <c r="Z735" s="39"/>
      <c r="AA735" s="39"/>
      <c r="AB735" s="39"/>
      <c r="AC735" s="39"/>
      <c r="AD735" s="39"/>
      <c r="AE735" s="39"/>
      <c r="AF735" s="39"/>
      <c r="AG735" s="39"/>
      <c r="AH735" s="39"/>
      <c r="AI735" s="39"/>
      <c r="AJ735" s="423"/>
      <c r="AK735" s="39"/>
      <c r="AL735" s="423"/>
      <c r="AM735" s="39"/>
      <c r="AN735" s="39"/>
      <c r="AO735" s="39"/>
      <c r="AP735" s="39"/>
    </row>
    <row r="736" spans="2:42">
      <c r="B736" s="39"/>
      <c r="C736" s="39"/>
      <c r="D736" s="39"/>
      <c r="E736" s="39"/>
      <c r="F736" s="39"/>
      <c r="G736" s="39"/>
      <c r="H736" s="39"/>
      <c r="I736" s="39"/>
      <c r="J736" s="39"/>
      <c r="K736" s="39"/>
      <c r="L736" s="100"/>
      <c r="N736" s="39"/>
      <c r="O736" s="39"/>
      <c r="P736" s="39"/>
      <c r="Q736" s="39"/>
      <c r="R736" s="39"/>
      <c r="S736" s="39"/>
      <c r="T736" s="39"/>
      <c r="U736" s="39"/>
      <c r="V736" s="39"/>
      <c r="W736" s="39"/>
      <c r="Y736" s="39"/>
      <c r="Z736" s="39"/>
      <c r="AA736" s="39"/>
      <c r="AB736" s="39"/>
      <c r="AC736" s="39"/>
      <c r="AD736" s="39"/>
      <c r="AE736" s="39"/>
      <c r="AF736" s="39"/>
      <c r="AG736" s="39"/>
      <c r="AH736" s="39"/>
      <c r="AI736" s="39"/>
      <c r="AJ736" s="423"/>
      <c r="AK736" s="39"/>
      <c r="AL736" s="423"/>
      <c r="AM736" s="39"/>
      <c r="AN736" s="39"/>
      <c r="AO736" s="39"/>
      <c r="AP736" s="39"/>
    </row>
    <row r="737" spans="2:42">
      <c r="B737" s="39"/>
      <c r="C737" s="39"/>
      <c r="D737" s="39"/>
      <c r="E737" s="39"/>
      <c r="F737" s="39"/>
      <c r="G737" s="39"/>
      <c r="H737" s="39"/>
      <c r="I737" s="39"/>
      <c r="J737" s="39"/>
      <c r="K737" s="39"/>
      <c r="L737" s="100"/>
      <c r="N737" s="39"/>
      <c r="O737" s="39"/>
      <c r="P737" s="39"/>
      <c r="Q737" s="39"/>
      <c r="R737" s="39"/>
      <c r="S737" s="39"/>
      <c r="T737" s="39"/>
      <c r="U737" s="39"/>
      <c r="V737" s="39"/>
      <c r="W737" s="39"/>
      <c r="Y737" s="39"/>
      <c r="Z737" s="39"/>
      <c r="AA737" s="39"/>
      <c r="AB737" s="39"/>
      <c r="AC737" s="39"/>
      <c r="AD737" s="39"/>
      <c r="AE737" s="39"/>
      <c r="AF737" s="39"/>
      <c r="AG737" s="39"/>
      <c r="AH737" s="39"/>
      <c r="AI737" s="39"/>
      <c r="AJ737" s="423"/>
      <c r="AK737" s="39"/>
      <c r="AL737" s="423"/>
      <c r="AM737" s="39"/>
      <c r="AN737" s="39"/>
      <c r="AO737" s="39"/>
      <c r="AP737" s="39"/>
    </row>
    <row r="738" spans="2:42">
      <c r="B738" s="39"/>
      <c r="C738" s="39"/>
      <c r="D738" s="39"/>
      <c r="E738" s="39"/>
      <c r="F738" s="39"/>
      <c r="G738" s="39"/>
      <c r="H738" s="39"/>
      <c r="I738" s="39"/>
      <c r="J738" s="39"/>
      <c r="K738" s="39"/>
      <c r="L738" s="100"/>
      <c r="N738" s="39"/>
      <c r="O738" s="39"/>
      <c r="P738" s="39"/>
      <c r="Q738" s="39"/>
      <c r="R738" s="39"/>
      <c r="S738" s="39"/>
      <c r="T738" s="39"/>
      <c r="U738" s="39"/>
      <c r="V738" s="39"/>
      <c r="W738" s="39"/>
      <c r="Y738" s="39"/>
      <c r="Z738" s="39"/>
      <c r="AA738" s="39"/>
      <c r="AB738" s="39"/>
      <c r="AC738" s="39"/>
      <c r="AD738" s="39"/>
      <c r="AE738" s="39"/>
      <c r="AF738" s="39"/>
      <c r="AG738" s="39"/>
      <c r="AH738" s="39"/>
      <c r="AI738" s="39"/>
      <c r="AJ738" s="423"/>
      <c r="AK738" s="39"/>
      <c r="AL738" s="423"/>
      <c r="AM738" s="39"/>
      <c r="AN738" s="39"/>
      <c r="AO738" s="39"/>
      <c r="AP738" s="39"/>
    </row>
    <row r="739" spans="2:42">
      <c r="B739" s="39"/>
      <c r="C739" s="39"/>
      <c r="D739" s="39"/>
      <c r="E739" s="39"/>
      <c r="F739" s="39"/>
      <c r="G739" s="39"/>
      <c r="H739" s="39"/>
      <c r="I739" s="39"/>
      <c r="J739" s="39"/>
      <c r="K739" s="39"/>
      <c r="L739" s="100"/>
      <c r="N739" s="39"/>
      <c r="O739" s="39"/>
      <c r="P739" s="39"/>
      <c r="Q739" s="39"/>
      <c r="R739" s="39"/>
      <c r="S739" s="39"/>
      <c r="T739" s="39"/>
      <c r="U739" s="39"/>
      <c r="V739" s="39"/>
      <c r="W739" s="39"/>
      <c r="Y739" s="39"/>
      <c r="Z739" s="39"/>
      <c r="AA739" s="39"/>
      <c r="AB739" s="39"/>
      <c r="AC739" s="39"/>
      <c r="AD739" s="39"/>
      <c r="AE739" s="39"/>
      <c r="AF739" s="39"/>
      <c r="AG739" s="39"/>
      <c r="AH739" s="39"/>
      <c r="AI739" s="39"/>
      <c r="AJ739" s="423"/>
      <c r="AK739" s="39"/>
      <c r="AL739" s="423"/>
      <c r="AM739" s="39"/>
      <c r="AN739" s="39"/>
      <c r="AO739" s="39"/>
      <c r="AP739" s="39"/>
    </row>
    <row r="740" spans="2:42">
      <c r="B740" s="39"/>
      <c r="C740" s="39"/>
      <c r="D740" s="39"/>
      <c r="E740" s="39"/>
      <c r="F740" s="39"/>
      <c r="G740" s="39"/>
      <c r="H740" s="39"/>
      <c r="I740" s="39"/>
      <c r="J740" s="39"/>
      <c r="K740" s="39"/>
      <c r="L740" s="100"/>
      <c r="N740" s="39"/>
      <c r="O740" s="39"/>
      <c r="P740" s="39"/>
      <c r="Q740" s="39"/>
      <c r="R740" s="39"/>
      <c r="S740" s="39"/>
      <c r="T740" s="39"/>
      <c r="U740" s="39"/>
      <c r="V740" s="39"/>
      <c r="W740" s="39"/>
      <c r="Y740" s="39"/>
      <c r="Z740" s="39"/>
      <c r="AA740" s="39"/>
      <c r="AB740" s="39"/>
      <c r="AC740" s="39"/>
      <c r="AD740" s="39"/>
      <c r="AE740" s="39"/>
      <c r="AF740" s="39"/>
      <c r="AG740" s="39"/>
      <c r="AH740" s="39"/>
      <c r="AI740" s="39"/>
      <c r="AJ740" s="423"/>
      <c r="AK740" s="39"/>
      <c r="AL740" s="423"/>
      <c r="AM740" s="39"/>
      <c r="AN740" s="39"/>
      <c r="AO740" s="39"/>
      <c r="AP740" s="39"/>
    </row>
    <row r="741" spans="2:42">
      <c r="B741" s="39"/>
      <c r="C741" s="39"/>
      <c r="D741" s="39"/>
      <c r="E741" s="39"/>
      <c r="F741" s="39"/>
      <c r="G741" s="39"/>
      <c r="H741" s="39"/>
      <c r="I741" s="39"/>
      <c r="J741" s="39"/>
      <c r="K741" s="39"/>
      <c r="L741" s="100"/>
      <c r="N741" s="39"/>
      <c r="O741" s="39"/>
      <c r="P741" s="39"/>
      <c r="Q741" s="39"/>
      <c r="R741" s="39"/>
      <c r="S741" s="39"/>
      <c r="T741" s="39"/>
      <c r="U741" s="39"/>
      <c r="V741" s="39"/>
      <c r="W741" s="39"/>
      <c r="Y741" s="39"/>
      <c r="Z741" s="39"/>
      <c r="AA741" s="39"/>
      <c r="AB741" s="39"/>
      <c r="AC741" s="39"/>
      <c r="AD741" s="39"/>
      <c r="AE741" s="39"/>
      <c r="AF741" s="39"/>
      <c r="AG741" s="39"/>
      <c r="AH741" s="39"/>
      <c r="AI741" s="39"/>
      <c r="AJ741" s="423"/>
      <c r="AK741" s="39"/>
      <c r="AL741" s="423"/>
      <c r="AM741" s="39"/>
      <c r="AN741" s="39"/>
      <c r="AO741" s="39"/>
      <c r="AP741" s="39"/>
    </row>
    <row r="742" spans="2:42">
      <c r="B742" s="39"/>
      <c r="C742" s="39"/>
      <c r="D742" s="39"/>
      <c r="E742" s="39"/>
      <c r="F742" s="39"/>
      <c r="G742" s="39"/>
      <c r="H742" s="39"/>
      <c r="I742" s="39"/>
      <c r="J742" s="39"/>
      <c r="K742" s="39"/>
      <c r="L742" s="100"/>
      <c r="N742" s="39"/>
      <c r="O742" s="39"/>
      <c r="P742" s="39"/>
      <c r="Q742" s="39"/>
      <c r="R742" s="39"/>
      <c r="S742" s="39"/>
      <c r="T742" s="39"/>
      <c r="U742" s="39"/>
      <c r="V742" s="39"/>
      <c r="W742" s="39"/>
      <c r="Y742" s="39"/>
      <c r="Z742" s="39"/>
      <c r="AA742" s="39"/>
      <c r="AB742" s="39"/>
      <c r="AC742" s="39"/>
      <c r="AD742" s="39"/>
      <c r="AE742" s="39"/>
      <c r="AF742" s="39"/>
      <c r="AG742" s="39"/>
      <c r="AH742" s="39"/>
      <c r="AI742" s="39"/>
      <c r="AJ742" s="423"/>
      <c r="AK742" s="39"/>
      <c r="AL742" s="423"/>
      <c r="AM742" s="39"/>
      <c r="AN742" s="39"/>
      <c r="AO742" s="39"/>
      <c r="AP742" s="39"/>
    </row>
    <row r="743" spans="2:42">
      <c r="B743" s="39"/>
      <c r="C743" s="39"/>
      <c r="D743" s="39"/>
      <c r="E743" s="39"/>
      <c r="F743" s="39"/>
      <c r="G743" s="39"/>
      <c r="H743" s="39"/>
      <c r="I743" s="39"/>
      <c r="J743" s="39"/>
      <c r="K743" s="39"/>
      <c r="L743" s="100"/>
      <c r="N743" s="39"/>
      <c r="O743" s="39"/>
      <c r="P743" s="39"/>
      <c r="Q743" s="39"/>
      <c r="R743" s="39"/>
      <c r="S743" s="39"/>
      <c r="T743" s="39"/>
      <c r="U743" s="39"/>
      <c r="V743" s="39"/>
      <c r="W743" s="39"/>
      <c r="Y743" s="39"/>
      <c r="Z743" s="39"/>
      <c r="AA743" s="39"/>
      <c r="AB743" s="39"/>
      <c r="AC743" s="39"/>
      <c r="AD743" s="39"/>
      <c r="AE743" s="39"/>
      <c r="AF743" s="39"/>
      <c r="AG743" s="39"/>
      <c r="AH743" s="39"/>
      <c r="AI743" s="39"/>
      <c r="AJ743" s="423"/>
      <c r="AK743" s="39"/>
      <c r="AL743" s="423"/>
      <c r="AM743" s="39"/>
      <c r="AN743" s="39"/>
      <c r="AO743" s="39"/>
      <c r="AP743" s="39"/>
    </row>
    <row r="744" spans="2:42">
      <c r="B744" s="39"/>
      <c r="C744" s="39"/>
      <c r="D744" s="39"/>
      <c r="E744" s="39"/>
      <c r="F744" s="39"/>
      <c r="G744" s="39"/>
      <c r="H744" s="39"/>
      <c r="I744" s="39"/>
      <c r="J744" s="39"/>
      <c r="K744" s="39"/>
      <c r="L744" s="100"/>
      <c r="N744" s="39"/>
      <c r="O744" s="39"/>
      <c r="P744" s="39"/>
      <c r="Q744" s="39"/>
      <c r="R744" s="39"/>
      <c r="S744" s="39"/>
      <c r="T744" s="39"/>
      <c r="U744" s="39"/>
      <c r="V744" s="39"/>
      <c r="W744" s="39"/>
      <c r="Y744" s="39"/>
      <c r="Z744" s="39"/>
      <c r="AA744" s="39"/>
      <c r="AB744" s="39"/>
      <c r="AC744" s="39"/>
      <c r="AD744" s="39"/>
      <c r="AE744" s="39"/>
      <c r="AF744" s="39"/>
      <c r="AG744" s="39"/>
      <c r="AH744" s="39"/>
      <c r="AI744" s="39"/>
      <c r="AJ744" s="423"/>
      <c r="AK744" s="39"/>
      <c r="AL744" s="423"/>
      <c r="AM744" s="39"/>
      <c r="AN744" s="39"/>
      <c r="AO744" s="39"/>
      <c r="AP744" s="39"/>
    </row>
    <row r="745" spans="2:42">
      <c r="B745" s="39"/>
      <c r="C745" s="39"/>
      <c r="D745" s="39"/>
      <c r="E745" s="39"/>
      <c r="F745" s="39"/>
      <c r="G745" s="39"/>
      <c r="H745" s="39"/>
      <c r="I745" s="39"/>
      <c r="J745" s="39"/>
      <c r="K745" s="39"/>
      <c r="L745" s="100"/>
      <c r="N745" s="39"/>
      <c r="O745" s="39"/>
      <c r="P745" s="39"/>
      <c r="Q745" s="39"/>
      <c r="R745" s="39"/>
      <c r="S745" s="39"/>
      <c r="T745" s="39"/>
      <c r="U745" s="39"/>
      <c r="V745" s="39"/>
      <c r="W745" s="39"/>
      <c r="Y745" s="39"/>
      <c r="Z745" s="39"/>
      <c r="AA745" s="39"/>
      <c r="AB745" s="39"/>
      <c r="AC745" s="39"/>
      <c r="AD745" s="39"/>
      <c r="AE745" s="39"/>
      <c r="AF745" s="39"/>
      <c r="AG745" s="39"/>
      <c r="AH745" s="39"/>
      <c r="AI745" s="39"/>
      <c r="AJ745" s="423"/>
      <c r="AK745" s="39"/>
      <c r="AL745" s="423"/>
      <c r="AM745" s="39"/>
      <c r="AN745" s="39"/>
      <c r="AO745" s="39"/>
      <c r="AP745" s="39"/>
    </row>
    <row r="746" spans="2:42">
      <c r="B746" s="39"/>
      <c r="C746" s="39"/>
      <c r="D746" s="39"/>
      <c r="E746" s="39"/>
      <c r="F746" s="39"/>
      <c r="G746" s="39"/>
      <c r="H746" s="39"/>
      <c r="I746" s="39"/>
      <c r="J746" s="39"/>
      <c r="K746" s="39"/>
      <c r="L746" s="100"/>
      <c r="N746" s="39"/>
      <c r="O746" s="39"/>
      <c r="P746" s="39"/>
      <c r="Q746" s="39"/>
      <c r="R746" s="39"/>
      <c r="S746" s="39"/>
      <c r="T746" s="39"/>
      <c r="U746" s="39"/>
      <c r="V746" s="39"/>
      <c r="W746" s="39"/>
      <c r="Y746" s="39"/>
      <c r="Z746" s="39"/>
      <c r="AA746" s="39"/>
      <c r="AB746" s="39"/>
      <c r="AC746" s="39"/>
      <c r="AD746" s="39"/>
      <c r="AE746" s="39"/>
      <c r="AF746" s="39"/>
      <c r="AG746" s="39"/>
      <c r="AH746" s="39"/>
      <c r="AI746" s="39"/>
      <c r="AJ746" s="423"/>
      <c r="AK746" s="39"/>
      <c r="AL746" s="423"/>
      <c r="AM746" s="39"/>
      <c r="AN746" s="39"/>
      <c r="AO746" s="39"/>
      <c r="AP746" s="39"/>
    </row>
    <row r="747" spans="2:42">
      <c r="B747" s="39"/>
      <c r="C747" s="39"/>
      <c r="D747" s="39"/>
      <c r="E747" s="39"/>
      <c r="F747" s="39"/>
      <c r="G747" s="39"/>
      <c r="H747" s="39"/>
      <c r="I747" s="39"/>
      <c r="J747" s="39"/>
      <c r="K747" s="39"/>
      <c r="L747" s="100"/>
      <c r="N747" s="39"/>
      <c r="O747" s="39"/>
      <c r="P747" s="39"/>
      <c r="Q747" s="39"/>
      <c r="R747" s="39"/>
      <c r="S747" s="39"/>
      <c r="T747" s="39"/>
      <c r="U747" s="39"/>
      <c r="V747" s="39"/>
      <c r="W747" s="39"/>
      <c r="Y747" s="39"/>
      <c r="Z747" s="39"/>
      <c r="AA747" s="39"/>
      <c r="AB747" s="39"/>
      <c r="AC747" s="39"/>
      <c r="AD747" s="39"/>
      <c r="AE747" s="39"/>
      <c r="AF747" s="39"/>
      <c r="AG747" s="39"/>
      <c r="AH747" s="39"/>
      <c r="AI747" s="39"/>
      <c r="AJ747" s="423"/>
      <c r="AK747" s="39"/>
      <c r="AL747" s="423"/>
      <c r="AM747" s="39"/>
      <c r="AN747" s="39"/>
      <c r="AO747" s="39"/>
      <c r="AP747" s="39"/>
    </row>
    <row r="748" spans="2:42">
      <c r="B748" s="39"/>
      <c r="C748" s="39"/>
      <c r="D748" s="39"/>
      <c r="E748" s="39"/>
      <c r="F748" s="39"/>
      <c r="G748" s="39"/>
      <c r="H748" s="39"/>
      <c r="I748" s="39"/>
      <c r="J748" s="39"/>
      <c r="K748" s="39"/>
      <c r="L748" s="100"/>
      <c r="N748" s="39"/>
      <c r="O748" s="39"/>
      <c r="P748" s="39"/>
      <c r="Q748" s="39"/>
      <c r="R748" s="39"/>
      <c r="S748" s="39"/>
      <c r="T748" s="39"/>
      <c r="U748" s="39"/>
      <c r="V748" s="39"/>
      <c r="W748" s="39"/>
      <c r="Y748" s="39"/>
      <c r="Z748" s="39"/>
      <c r="AA748" s="39"/>
      <c r="AB748" s="39"/>
      <c r="AC748" s="39"/>
      <c r="AD748" s="39"/>
      <c r="AE748" s="39"/>
      <c r="AF748" s="39"/>
      <c r="AG748" s="39"/>
      <c r="AH748" s="39"/>
      <c r="AI748" s="39"/>
      <c r="AJ748" s="423"/>
      <c r="AK748" s="39"/>
      <c r="AL748" s="423"/>
      <c r="AM748" s="39"/>
      <c r="AN748" s="39"/>
      <c r="AO748" s="39"/>
      <c r="AP748" s="39"/>
    </row>
    <row r="749" spans="2:42">
      <c r="B749" s="39"/>
      <c r="C749" s="39"/>
      <c r="D749" s="39"/>
      <c r="E749" s="39"/>
      <c r="F749" s="39"/>
      <c r="G749" s="39"/>
      <c r="H749" s="39"/>
      <c r="I749" s="39"/>
      <c r="J749" s="39"/>
      <c r="K749" s="39"/>
      <c r="L749" s="100"/>
      <c r="N749" s="39"/>
      <c r="O749" s="39"/>
      <c r="P749" s="39"/>
      <c r="Q749" s="39"/>
      <c r="R749" s="39"/>
      <c r="S749" s="39"/>
      <c r="T749" s="39"/>
      <c r="U749" s="39"/>
      <c r="V749" s="39"/>
      <c r="W749" s="39"/>
      <c r="Y749" s="39"/>
      <c r="Z749" s="39"/>
      <c r="AA749" s="39"/>
      <c r="AB749" s="39"/>
      <c r="AC749" s="39"/>
      <c r="AD749" s="39"/>
      <c r="AE749" s="39"/>
      <c r="AF749" s="39"/>
      <c r="AG749" s="39"/>
      <c r="AH749" s="39"/>
      <c r="AI749" s="39"/>
      <c r="AJ749" s="423"/>
      <c r="AK749" s="39"/>
      <c r="AL749" s="423"/>
      <c r="AM749" s="39"/>
      <c r="AN749" s="39"/>
      <c r="AO749" s="39"/>
      <c r="AP749" s="39"/>
    </row>
    <row r="750" spans="2:42">
      <c r="B750" s="39"/>
      <c r="C750" s="39"/>
      <c r="D750" s="39"/>
      <c r="E750" s="39"/>
      <c r="F750" s="39"/>
      <c r="G750" s="39"/>
      <c r="H750" s="39"/>
      <c r="I750" s="39"/>
      <c r="J750" s="39"/>
      <c r="K750" s="39"/>
      <c r="L750" s="100"/>
      <c r="N750" s="39"/>
      <c r="O750" s="39"/>
      <c r="P750" s="39"/>
      <c r="Q750" s="39"/>
      <c r="R750" s="39"/>
      <c r="S750" s="39"/>
      <c r="T750" s="39"/>
      <c r="U750" s="39"/>
      <c r="V750" s="39"/>
      <c r="W750" s="39"/>
      <c r="Y750" s="39"/>
      <c r="Z750" s="39"/>
      <c r="AA750" s="39"/>
      <c r="AB750" s="39"/>
      <c r="AC750" s="39"/>
      <c r="AD750" s="39"/>
      <c r="AE750" s="39"/>
      <c r="AF750" s="39"/>
      <c r="AG750" s="39"/>
      <c r="AH750" s="39"/>
      <c r="AI750" s="39"/>
      <c r="AJ750" s="423"/>
      <c r="AK750" s="39"/>
      <c r="AL750" s="423"/>
      <c r="AM750" s="39"/>
      <c r="AN750" s="39"/>
      <c r="AO750" s="39"/>
      <c r="AP750" s="39"/>
    </row>
    <row r="751" spans="2:42">
      <c r="B751" s="39"/>
      <c r="C751" s="39"/>
      <c r="D751" s="39"/>
      <c r="E751" s="39"/>
      <c r="F751" s="39"/>
      <c r="G751" s="39"/>
      <c r="H751" s="39"/>
      <c r="I751" s="39"/>
      <c r="J751" s="39"/>
      <c r="K751" s="39"/>
      <c r="L751" s="100"/>
      <c r="N751" s="39"/>
      <c r="O751" s="39"/>
      <c r="P751" s="39"/>
      <c r="Q751" s="39"/>
      <c r="R751" s="39"/>
      <c r="S751" s="39"/>
      <c r="T751" s="39"/>
      <c r="U751" s="39"/>
      <c r="V751" s="39"/>
      <c r="W751" s="39"/>
      <c r="Y751" s="39"/>
      <c r="Z751" s="39"/>
      <c r="AA751" s="39"/>
      <c r="AB751" s="39"/>
      <c r="AC751" s="39"/>
      <c r="AD751" s="39"/>
      <c r="AE751" s="39"/>
      <c r="AF751" s="39"/>
      <c r="AG751" s="39"/>
      <c r="AH751" s="39"/>
      <c r="AI751" s="39"/>
      <c r="AJ751" s="423"/>
      <c r="AK751" s="39"/>
      <c r="AL751" s="423"/>
      <c r="AM751" s="39"/>
      <c r="AN751" s="39"/>
      <c r="AO751" s="39"/>
      <c r="AP751" s="39"/>
    </row>
    <row r="752" spans="2:42">
      <c r="B752" s="39"/>
      <c r="C752" s="39"/>
      <c r="D752" s="39"/>
      <c r="E752" s="39"/>
      <c r="F752" s="39"/>
      <c r="G752" s="39"/>
      <c r="H752" s="39"/>
      <c r="I752" s="39"/>
      <c r="J752" s="39"/>
      <c r="K752" s="39"/>
      <c r="L752" s="100"/>
      <c r="N752" s="39"/>
      <c r="O752" s="39"/>
      <c r="P752" s="39"/>
      <c r="Q752" s="39"/>
      <c r="R752" s="39"/>
      <c r="S752" s="39"/>
      <c r="T752" s="39"/>
      <c r="U752" s="39"/>
      <c r="V752" s="39"/>
      <c r="W752" s="39"/>
      <c r="Y752" s="39"/>
      <c r="Z752" s="39"/>
      <c r="AA752" s="39"/>
      <c r="AB752" s="39"/>
      <c r="AC752" s="39"/>
      <c r="AD752" s="39"/>
      <c r="AE752" s="39"/>
      <c r="AF752" s="39"/>
      <c r="AG752" s="39"/>
      <c r="AH752" s="39"/>
      <c r="AI752" s="39"/>
      <c r="AJ752" s="423"/>
      <c r="AK752" s="39"/>
      <c r="AL752" s="423"/>
      <c r="AM752" s="39"/>
      <c r="AN752" s="39"/>
      <c r="AO752" s="39"/>
      <c r="AP752" s="39"/>
    </row>
    <row r="753" spans="2:42">
      <c r="B753" s="39"/>
      <c r="C753" s="39"/>
      <c r="D753" s="39"/>
      <c r="E753" s="39"/>
      <c r="F753" s="39"/>
      <c r="G753" s="39"/>
      <c r="H753" s="39"/>
      <c r="I753" s="39"/>
      <c r="J753" s="39"/>
      <c r="K753" s="39"/>
      <c r="L753" s="100"/>
      <c r="N753" s="39"/>
      <c r="O753" s="39"/>
      <c r="P753" s="39"/>
      <c r="Q753" s="39"/>
      <c r="R753" s="39"/>
      <c r="S753" s="39"/>
      <c r="T753" s="39"/>
      <c r="U753" s="39"/>
      <c r="V753" s="39"/>
      <c r="W753" s="39"/>
      <c r="Y753" s="39"/>
      <c r="Z753" s="39"/>
      <c r="AA753" s="39"/>
      <c r="AB753" s="39"/>
      <c r="AC753" s="39"/>
      <c r="AD753" s="39"/>
      <c r="AE753" s="39"/>
      <c r="AF753" s="39"/>
      <c r="AG753" s="39"/>
      <c r="AH753" s="39"/>
      <c r="AI753" s="39"/>
      <c r="AJ753" s="423"/>
      <c r="AK753" s="39"/>
      <c r="AL753" s="423"/>
      <c r="AM753" s="39"/>
      <c r="AN753" s="39"/>
      <c r="AO753" s="39"/>
      <c r="AP753" s="39"/>
    </row>
    <row r="754" spans="2:42">
      <c r="B754" s="39"/>
      <c r="C754" s="39"/>
      <c r="D754" s="39"/>
      <c r="E754" s="39"/>
      <c r="F754" s="39"/>
      <c r="G754" s="39"/>
      <c r="H754" s="39"/>
      <c r="I754" s="39"/>
      <c r="J754" s="39"/>
      <c r="K754" s="39"/>
      <c r="L754" s="100"/>
      <c r="N754" s="39"/>
      <c r="O754" s="39"/>
      <c r="P754" s="39"/>
      <c r="Q754" s="39"/>
      <c r="R754" s="39"/>
      <c r="S754" s="39"/>
      <c r="T754" s="39"/>
      <c r="U754" s="39"/>
      <c r="V754" s="39"/>
      <c r="W754" s="39"/>
      <c r="Y754" s="39"/>
      <c r="Z754" s="39"/>
      <c r="AA754" s="39"/>
      <c r="AB754" s="39"/>
      <c r="AC754" s="39"/>
      <c r="AD754" s="39"/>
      <c r="AE754" s="39"/>
      <c r="AF754" s="39"/>
      <c r="AG754" s="39"/>
      <c r="AH754" s="39"/>
      <c r="AI754" s="39"/>
      <c r="AJ754" s="423"/>
      <c r="AK754" s="39"/>
      <c r="AL754" s="423"/>
      <c r="AM754" s="39"/>
      <c r="AN754" s="39"/>
      <c r="AO754" s="39"/>
      <c r="AP754" s="39"/>
    </row>
    <row r="755" spans="2:42">
      <c r="B755" s="39"/>
      <c r="C755" s="39"/>
      <c r="D755" s="39"/>
      <c r="E755" s="39"/>
      <c r="F755" s="39"/>
      <c r="G755" s="39"/>
      <c r="H755" s="39"/>
      <c r="I755" s="39"/>
      <c r="J755" s="39"/>
      <c r="K755" s="39"/>
      <c r="L755" s="100"/>
      <c r="N755" s="39"/>
      <c r="O755" s="39"/>
      <c r="P755" s="39"/>
      <c r="Q755" s="39"/>
      <c r="R755" s="39"/>
      <c r="S755" s="39"/>
      <c r="T755" s="39"/>
      <c r="U755" s="39"/>
      <c r="V755" s="39"/>
      <c r="W755" s="39"/>
      <c r="Y755" s="39"/>
      <c r="Z755" s="39"/>
      <c r="AA755" s="39"/>
      <c r="AB755" s="39"/>
      <c r="AC755" s="39"/>
      <c r="AD755" s="39"/>
      <c r="AE755" s="39"/>
      <c r="AF755" s="39"/>
      <c r="AG755" s="39"/>
      <c r="AH755" s="39"/>
      <c r="AI755" s="39"/>
      <c r="AJ755" s="423"/>
      <c r="AK755" s="39"/>
      <c r="AL755" s="423"/>
      <c r="AM755" s="39"/>
      <c r="AN755" s="39"/>
      <c r="AO755" s="39"/>
      <c r="AP755" s="39"/>
    </row>
    <row r="756" spans="2:42">
      <c r="B756" s="39"/>
      <c r="C756" s="39"/>
      <c r="D756" s="39"/>
      <c r="E756" s="39"/>
      <c r="F756" s="39"/>
      <c r="G756" s="39"/>
      <c r="H756" s="39"/>
      <c r="I756" s="39"/>
      <c r="J756" s="39"/>
      <c r="K756" s="39"/>
      <c r="L756" s="100"/>
      <c r="N756" s="39"/>
      <c r="O756" s="39"/>
      <c r="P756" s="39"/>
      <c r="Q756" s="39"/>
      <c r="R756" s="39"/>
      <c r="S756" s="39"/>
      <c r="T756" s="39"/>
      <c r="U756" s="39"/>
      <c r="V756" s="39"/>
      <c r="W756" s="39"/>
      <c r="Y756" s="39"/>
      <c r="Z756" s="39"/>
      <c r="AA756" s="39"/>
      <c r="AB756" s="39"/>
      <c r="AC756" s="39"/>
      <c r="AD756" s="39"/>
      <c r="AE756" s="39"/>
      <c r="AF756" s="39"/>
      <c r="AG756" s="39"/>
      <c r="AH756" s="39"/>
      <c r="AI756" s="39"/>
      <c r="AJ756" s="423"/>
      <c r="AK756" s="39"/>
      <c r="AL756" s="423"/>
      <c r="AM756" s="39"/>
      <c r="AN756" s="39"/>
      <c r="AO756" s="39"/>
      <c r="AP756" s="39"/>
    </row>
    <row r="757" spans="2:42">
      <c r="B757" s="39"/>
      <c r="C757" s="39"/>
      <c r="D757" s="39"/>
      <c r="E757" s="39"/>
      <c r="F757" s="39"/>
      <c r="G757" s="39"/>
      <c r="H757" s="39"/>
      <c r="I757" s="39"/>
      <c r="J757" s="39"/>
      <c r="K757" s="39"/>
      <c r="L757" s="100"/>
      <c r="N757" s="39"/>
      <c r="O757" s="39"/>
      <c r="P757" s="39"/>
      <c r="Q757" s="39"/>
      <c r="R757" s="39"/>
      <c r="S757" s="39"/>
      <c r="T757" s="39"/>
      <c r="U757" s="39"/>
      <c r="V757" s="39"/>
      <c r="W757" s="39"/>
      <c r="Y757" s="39"/>
      <c r="Z757" s="39"/>
      <c r="AA757" s="39"/>
      <c r="AB757" s="39"/>
      <c r="AC757" s="39"/>
      <c r="AD757" s="39"/>
      <c r="AE757" s="39"/>
      <c r="AF757" s="39"/>
      <c r="AG757" s="39"/>
      <c r="AH757" s="39"/>
      <c r="AI757" s="39"/>
      <c r="AJ757" s="423"/>
      <c r="AK757" s="39"/>
      <c r="AL757" s="423"/>
      <c r="AM757" s="39"/>
      <c r="AN757" s="39"/>
      <c r="AO757" s="39"/>
      <c r="AP757" s="39"/>
    </row>
    <row r="758" spans="2:42">
      <c r="B758" s="39"/>
      <c r="C758" s="39"/>
      <c r="D758" s="39"/>
      <c r="E758" s="39"/>
      <c r="F758" s="39"/>
      <c r="G758" s="39"/>
      <c r="H758" s="39"/>
      <c r="I758" s="39"/>
      <c r="J758" s="39"/>
      <c r="K758" s="39"/>
      <c r="L758" s="100"/>
      <c r="N758" s="39"/>
      <c r="O758" s="39"/>
      <c r="P758" s="39"/>
      <c r="Q758" s="39"/>
      <c r="R758" s="39"/>
      <c r="S758" s="39"/>
      <c r="T758" s="39"/>
      <c r="U758" s="39"/>
      <c r="V758" s="39"/>
      <c r="W758" s="39"/>
      <c r="Y758" s="39"/>
      <c r="Z758" s="39"/>
      <c r="AA758" s="39"/>
      <c r="AB758" s="39"/>
      <c r="AC758" s="39"/>
      <c r="AD758" s="39"/>
      <c r="AE758" s="39"/>
      <c r="AF758" s="39"/>
      <c r="AG758" s="39"/>
      <c r="AH758" s="39"/>
      <c r="AI758" s="39"/>
      <c r="AJ758" s="423"/>
      <c r="AK758" s="39"/>
      <c r="AL758" s="423"/>
      <c r="AM758" s="39"/>
      <c r="AN758" s="39"/>
      <c r="AO758" s="39"/>
      <c r="AP758" s="39"/>
    </row>
    <row r="759" spans="2:42">
      <c r="B759" s="39"/>
      <c r="C759" s="39"/>
      <c r="D759" s="39"/>
      <c r="E759" s="39"/>
      <c r="F759" s="39"/>
      <c r="G759" s="39"/>
      <c r="H759" s="39"/>
      <c r="I759" s="39"/>
      <c r="J759" s="39"/>
      <c r="K759" s="39"/>
      <c r="L759" s="100"/>
      <c r="N759" s="39"/>
      <c r="O759" s="39"/>
      <c r="P759" s="39"/>
      <c r="Q759" s="39"/>
      <c r="R759" s="39"/>
      <c r="S759" s="39"/>
      <c r="T759" s="39"/>
      <c r="U759" s="39"/>
      <c r="V759" s="39"/>
      <c r="W759" s="39"/>
      <c r="Y759" s="39"/>
      <c r="Z759" s="39"/>
      <c r="AA759" s="39"/>
      <c r="AB759" s="39"/>
      <c r="AC759" s="39"/>
      <c r="AD759" s="39"/>
      <c r="AE759" s="39"/>
      <c r="AF759" s="39"/>
      <c r="AG759" s="39"/>
      <c r="AH759" s="39"/>
      <c r="AI759" s="39"/>
      <c r="AJ759" s="423"/>
      <c r="AK759" s="39"/>
      <c r="AL759" s="423"/>
      <c r="AM759" s="39"/>
      <c r="AN759" s="39"/>
      <c r="AO759" s="39"/>
      <c r="AP759" s="39"/>
    </row>
    <row r="760" spans="2:42">
      <c r="B760" s="39"/>
      <c r="C760" s="39"/>
      <c r="D760" s="39"/>
      <c r="E760" s="39"/>
      <c r="F760" s="39"/>
      <c r="G760" s="39"/>
      <c r="H760" s="39"/>
      <c r="I760" s="39"/>
      <c r="J760" s="39"/>
      <c r="K760" s="39"/>
      <c r="L760" s="100"/>
      <c r="N760" s="39"/>
      <c r="O760" s="39"/>
      <c r="P760" s="39"/>
      <c r="Q760" s="39"/>
      <c r="R760" s="39"/>
      <c r="S760" s="39"/>
      <c r="T760" s="39"/>
      <c r="U760" s="39"/>
      <c r="V760" s="39"/>
      <c r="W760" s="39"/>
      <c r="Y760" s="39"/>
      <c r="Z760" s="39"/>
      <c r="AA760" s="39"/>
      <c r="AB760" s="39"/>
      <c r="AC760" s="39"/>
      <c r="AD760" s="39"/>
      <c r="AE760" s="39"/>
      <c r="AF760" s="39"/>
      <c r="AG760" s="39"/>
      <c r="AH760" s="39"/>
      <c r="AI760" s="39"/>
      <c r="AJ760" s="423"/>
      <c r="AK760" s="39"/>
      <c r="AL760" s="423"/>
      <c r="AM760" s="39"/>
      <c r="AN760" s="39"/>
      <c r="AO760" s="39"/>
      <c r="AP760" s="39"/>
    </row>
    <row r="761" spans="2:42">
      <c r="B761" s="39"/>
      <c r="C761" s="39"/>
      <c r="D761" s="39"/>
      <c r="E761" s="39"/>
      <c r="F761" s="39"/>
      <c r="G761" s="39"/>
      <c r="H761" s="39"/>
      <c r="I761" s="39"/>
      <c r="J761" s="39"/>
      <c r="K761" s="39"/>
      <c r="L761" s="100"/>
      <c r="N761" s="39"/>
      <c r="O761" s="39"/>
      <c r="P761" s="39"/>
      <c r="Q761" s="39"/>
      <c r="R761" s="39"/>
      <c r="S761" s="39"/>
      <c r="T761" s="39"/>
      <c r="U761" s="39"/>
      <c r="V761" s="39"/>
      <c r="W761" s="39"/>
      <c r="Y761" s="39"/>
      <c r="Z761" s="39"/>
      <c r="AA761" s="39"/>
      <c r="AB761" s="39"/>
      <c r="AC761" s="39"/>
      <c r="AD761" s="39"/>
      <c r="AE761" s="39"/>
      <c r="AF761" s="39"/>
      <c r="AG761" s="39"/>
      <c r="AH761" s="39"/>
      <c r="AI761" s="39"/>
      <c r="AJ761" s="423"/>
      <c r="AK761" s="39"/>
      <c r="AL761" s="423"/>
      <c r="AM761" s="39"/>
      <c r="AN761" s="39"/>
      <c r="AO761" s="39"/>
      <c r="AP761" s="39"/>
    </row>
    <row r="762" spans="2:42">
      <c r="B762" s="39"/>
      <c r="C762" s="39"/>
      <c r="D762" s="39"/>
      <c r="E762" s="39"/>
      <c r="F762" s="39"/>
      <c r="G762" s="39"/>
      <c r="H762" s="39"/>
      <c r="I762" s="39"/>
      <c r="J762" s="39"/>
      <c r="K762" s="39"/>
      <c r="L762" s="100"/>
      <c r="N762" s="39"/>
      <c r="O762" s="39"/>
      <c r="P762" s="39"/>
      <c r="Q762" s="39"/>
      <c r="R762" s="39"/>
      <c r="S762" s="39"/>
      <c r="T762" s="39"/>
      <c r="U762" s="39"/>
      <c r="V762" s="39"/>
      <c r="W762" s="39"/>
      <c r="Y762" s="39"/>
      <c r="Z762" s="39"/>
      <c r="AA762" s="39"/>
      <c r="AB762" s="39"/>
      <c r="AC762" s="39"/>
      <c r="AD762" s="39"/>
      <c r="AE762" s="39"/>
      <c r="AF762" s="39"/>
      <c r="AG762" s="39"/>
      <c r="AH762" s="39"/>
      <c r="AI762" s="39"/>
      <c r="AJ762" s="423"/>
      <c r="AK762" s="39"/>
      <c r="AL762" s="423"/>
      <c r="AM762" s="39"/>
      <c r="AN762" s="39"/>
      <c r="AO762" s="39"/>
      <c r="AP762" s="39"/>
    </row>
    <row r="763" spans="2:42">
      <c r="B763" s="39"/>
      <c r="C763" s="39"/>
      <c r="D763" s="39"/>
      <c r="E763" s="39"/>
      <c r="F763" s="39"/>
      <c r="G763" s="39"/>
      <c r="H763" s="39"/>
      <c r="I763" s="39"/>
      <c r="J763" s="39"/>
      <c r="K763" s="39"/>
      <c r="L763" s="100"/>
      <c r="N763" s="39"/>
      <c r="O763" s="39"/>
      <c r="P763" s="39"/>
      <c r="Q763" s="39"/>
      <c r="R763" s="39"/>
      <c r="S763" s="39"/>
      <c r="T763" s="39"/>
      <c r="U763" s="39"/>
      <c r="V763" s="39"/>
      <c r="W763" s="39"/>
      <c r="Y763" s="39"/>
      <c r="Z763" s="39"/>
      <c r="AA763" s="39"/>
      <c r="AB763" s="39"/>
      <c r="AC763" s="39"/>
      <c r="AD763" s="39"/>
      <c r="AE763" s="39"/>
      <c r="AF763" s="39"/>
      <c r="AG763" s="39"/>
      <c r="AH763" s="39"/>
      <c r="AI763" s="39"/>
      <c r="AJ763" s="423"/>
      <c r="AK763" s="39"/>
      <c r="AL763" s="423"/>
      <c r="AM763" s="39"/>
      <c r="AN763" s="39"/>
      <c r="AO763" s="39"/>
      <c r="AP763" s="39"/>
    </row>
    <row r="764" spans="2:42">
      <c r="B764" s="39"/>
      <c r="C764" s="39"/>
      <c r="D764" s="39"/>
      <c r="E764" s="39"/>
      <c r="F764" s="39"/>
      <c r="G764" s="39"/>
      <c r="H764" s="39"/>
      <c r="I764" s="39"/>
      <c r="J764" s="39"/>
      <c r="K764" s="39"/>
      <c r="L764" s="100"/>
      <c r="N764" s="39"/>
      <c r="O764" s="39"/>
      <c r="P764" s="39"/>
      <c r="Q764" s="39"/>
      <c r="R764" s="39"/>
      <c r="S764" s="39"/>
      <c r="T764" s="39"/>
      <c r="U764" s="39"/>
      <c r="V764" s="39"/>
      <c r="W764" s="39"/>
      <c r="Y764" s="39"/>
      <c r="Z764" s="39"/>
      <c r="AA764" s="39"/>
      <c r="AB764" s="39"/>
      <c r="AC764" s="39"/>
      <c r="AD764" s="39"/>
      <c r="AE764" s="39"/>
      <c r="AF764" s="39"/>
      <c r="AG764" s="39"/>
      <c r="AH764" s="39"/>
      <c r="AI764" s="39"/>
      <c r="AJ764" s="423"/>
      <c r="AK764" s="39"/>
      <c r="AL764" s="423"/>
      <c r="AM764" s="39"/>
      <c r="AN764" s="39"/>
      <c r="AO764" s="39"/>
      <c r="AP764" s="39"/>
    </row>
    <row r="765" spans="2:42">
      <c r="B765" s="39"/>
      <c r="C765" s="39"/>
      <c r="D765" s="39"/>
      <c r="E765" s="39"/>
      <c r="F765" s="39"/>
      <c r="G765" s="39"/>
      <c r="H765" s="39"/>
      <c r="I765" s="39"/>
      <c r="J765" s="39"/>
      <c r="K765" s="39"/>
      <c r="L765" s="100"/>
      <c r="N765" s="39"/>
      <c r="O765" s="39"/>
      <c r="P765" s="39"/>
      <c r="Q765" s="39"/>
      <c r="R765" s="39"/>
      <c r="S765" s="39"/>
      <c r="T765" s="39"/>
      <c r="U765" s="39"/>
      <c r="V765" s="39"/>
      <c r="W765" s="39"/>
      <c r="Y765" s="39"/>
      <c r="Z765" s="39"/>
      <c r="AA765" s="39"/>
      <c r="AB765" s="39"/>
      <c r="AC765" s="39"/>
      <c r="AD765" s="39"/>
      <c r="AE765" s="39"/>
      <c r="AF765" s="39"/>
      <c r="AG765" s="39"/>
      <c r="AH765" s="39"/>
      <c r="AI765" s="39"/>
      <c r="AJ765" s="423"/>
      <c r="AK765" s="39"/>
      <c r="AL765" s="423"/>
      <c r="AM765" s="39"/>
      <c r="AN765" s="39"/>
      <c r="AO765" s="39"/>
      <c r="AP765" s="39"/>
    </row>
    <row r="766" spans="2:42">
      <c r="B766" s="39"/>
      <c r="C766" s="39"/>
      <c r="D766" s="39"/>
      <c r="E766" s="39"/>
      <c r="F766" s="39"/>
      <c r="G766" s="39"/>
      <c r="H766" s="39"/>
      <c r="I766" s="39"/>
      <c r="J766" s="39"/>
      <c r="K766" s="39"/>
      <c r="L766" s="100"/>
      <c r="N766" s="39"/>
      <c r="O766" s="39"/>
      <c r="P766" s="39"/>
      <c r="Q766" s="39"/>
      <c r="R766" s="39"/>
      <c r="S766" s="39"/>
      <c r="T766" s="39"/>
      <c r="U766" s="39"/>
      <c r="V766" s="39"/>
      <c r="W766" s="39"/>
      <c r="Y766" s="39"/>
      <c r="Z766" s="39"/>
      <c r="AA766" s="39"/>
      <c r="AB766" s="39"/>
      <c r="AC766" s="39"/>
      <c r="AD766" s="39"/>
      <c r="AE766" s="39"/>
      <c r="AF766" s="39"/>
      <c r="AG766" s="39"/>
      <c r="AH766" s="39"/>
      <c r="AI766" s="39"/>
      <c r="AJ766" s="423"/>
      <c r="AK766" s="39"/>
      <c r="AL766" s="423"/>
      <c r="AM766" s="39"/>
      <c r="AN766" s="39"/>
      <c r="AO766" s="39"/>
      <c r="AP766" s="39"/>
    </row>
    <row r="767" spans="2:42">
      <c r="B767" s="39"/>
      <c r="C767" s="39"/>
      <c r="D767" s="39"/>
      <c r="E767" s="39"/>
      <c r="F767" s="39"/>
      <c r="G767" s="39"/>
      <c r="H767" s="39"/>
      <c r="I767" s="39"/>
      <c r="J767" s="39"/>
      <c r="K767" s="39"/>
      <c r="L767" s="100"/>
      <c r="N767" s="39"/>
      <c r="O767" s="39"/>
      <c r="P767" s="39"/>
      <c r="Q767" s="39"/>
      <c r="R767" s="39"/>
      <c r="S767" s="39"/>
      <c r="T767" s="39"/>
      <c r="U767" s="39"/>
      <c r="V767" s="39"/>
      <c r="W767" s="39"/>
      <c r="Y767" s="39"/>
      <c r="Z767" s="39"/>
      <c r="AA767" s="39"/>
      <c r="AB767" s="39"/>
      <c r="AC767" s="39"/>
      <c r="AD767" s="39"/>
      <c r="AE767" s="39"/>
      <c r="AF767" s="39"/>
      <c r="AG767" s="39"/>
      <c r="AH767" s="39"/>
      <c r="AI767" s="39"/>
      <c r="AJ767" s="423"/>
      <c r="AK767" s="39"/>
      <c r="AL767" s="423"/>
      <c r="AM767" s="39"/>
      <c r="AN767" s="39"/>
      <c r="AO767" s="39"/>
      <c r="AP767" s="39"/>
    </row>
    <row r="768" spans="2:42">
      <c r="B768" s="39"/>
      <c r="C768" s="39"/>
      <c r="D768" s="39"/>
      <c r="E768" s="39"/>
      <c r="F768" s="39"/>
      <c r="G768" s="39"/>
      <c r="H768" s="39"/>
      <c r="I768" s="39"/>
      <c r="J768" s="39"/>
      <c r="K768" s="39"/>
      <c r="L768" s="100"/>
      <c r="N768" s="39"/>
      <c r="O768" s="39"/>
      <c r="P768" s="39"/>
      <c r="Q768" s="39"/>
      <c r="R768" s="39"/>
      <c r="S768" s="39"/>
      <c r="T768" s="39"/>
      <c r="U768" s="39"/>
      <c r="V768" s="39"/>
      <c r="W768" s="39"/>
      <c r="Y768" s="39"/>
      <c r="Z768" s="39"/>
      <c r="AA768" s="39"/>
      <c r="AB768" s="39"/>
      <c r="AC768" s="39"/>
      <c r="AD768" s="39"/>
      <c r="AE768" s="39"/>
      <c r="AF768" s="39"/>
      <c r="AG768" s="39"/>
      <c r="AH768" s="39"/>
      <c r="AI768" s="39"/>
      <c r="AJ768" s="423"/>
      <c r="AK768" s="39"/>
      <c r="AL768" s="423"/>
      <c r="AM768" s="39"/>
      <c r="AN768" s="39"/>
      <c r="AO768" s="39"/>
      <c r="AP768" s="39"/>
    </row>
    <row r="769" spans="2:42">
      <c r="B769" s="39"/>
      <c r="C769" s="39"/>
      <c r="D769" s="39"/>
      <c r="E769" s="39"/>
      <c r="F769" s="39"/>
      <c r="G769" s="39"/>
      <c r="H769" s="39"/>
      <c r="I769" s="39"/>
      <c r="J769" s="39"/>
      <c r="K769" s="39"/>
      <c r="L769" s="100"/>
      <c r="N769" s="39"/>
      <c r="O769" s="39"/>
      <c r="P769" s="39"/>
      <c r="Q769" s="39"/>
      <c r="R769" s="39"/>
      <c r="S769" s="39"/>
      <c r="T769" s="39"/>
      <c r="U769" s="39"/>
      <c r="V769" s="39"/>
      <c r="W769" s="39"/>
      <c r="Y769" s="39"/>
      <c r="Z769" s="39"/>
      <c r="AA769" s="39"/>
      <c r="AB769" s="39"/>
      <c r="AC769" s="39"/>
      <c r="AD769" s="39"/>
      <c r="AE769" s="39"/>
      <c r="AF769" s="39"/>
      <c r="AG769" s="39"/>
      <c r="AH769" s="39"/>
      <c r="AI769" s="39"/>
      <c r="AJ769" s="423"/>
      <c r="AK769" s="39"/>
      <c r="AL769" s="423"/>
      <c r="AM769" s="39"/>
      <c r="AN769" s="39"/>
      <c r="AO769" s="39"/>
      <c r="AP769" s="39"/>
    </row>
    <row r="770" spans="2:42">
      <c r="B770" s="39"/>
      <c r="C770" s="39"/>
      <c r="D770" s="39"/>
      <c r="E770" s="39"/>
      <c r="F770" s="39"/>
      <c r="G770" s="39"/>
      <c r="H770" s="39"/>
      <c r="I770" s="39"/>
      <c r="J770" s="39"/>
      <c r="K770" s="39"/>
      <c r="L770" s="100"/>
      <c r="N770" s="39"/>
      <c r="O770" s="39"/>
      <c r="P770" s="39"/>
      <c r="Q770" s="39"/>
      <c r="R770" s="39"/>
      <c r="S770" s="39"/>
      <c r="T770" s="39"/>
      <c r="U770" s="39"/>
      <c r="V770" s="39"/>
      <c r="W770" s="39"/>
      <c r="Y770" s="39"/>
      <c r="Z770" s="39"/>
      <c r="AA770" s="39"/>
      <c r="AB770" s="39"/>
      <c r="AC770" s="39"/>
      <c r="AD770" s="39"/>
      <c r="AE770" s="39"/>
      <c r="AF770" s="39"/>
      <c r="AG770" s="39"/>
      <c r="AH770" s="39"/>
      <c r="AI770" s="39"/>
      <c r="AJ770" s="423"/>
      <c r="AK770" s="39"/>
      <c r="AL770" s="423"/>
      <c r="AM770" s="39"/>
      <c r="AN770" s="39"/>
      <c r="AO770" s="39"/>
      <c r="AP770" s="39"/>
    </row>
    <row r="771" spans="2:42">
      <c r="B771" s="39"/>
      <c r="C771" s="39"/>
      <c r="D771" s="39"/>
      <c r="E771" s="39"/>
      <c r="F771" s="39"/>
      <c r="G771" s="39"/>
      <c r="H771" s="39"/>
      <c r="I771" s="39"/>
      <c r="J771" s="39"/>
      <c r="K771" s="39"/>
      <c r="L771" s="100"/>
      <c r="N771" s="39"/>
      <c r="O771" s="39"/>
      <c r="P771" s="39"/>
      <c r="Q771" s="39"/>
      <c r="R771" s="39"/>
      <c r="S771" s="39"/>
      <c r="T771" s="39"/>
      <c r="U771" s="39"/>
      <c r="V771" s="39"/>
      <c r="W771" s="39"/>
      <c r="Y771" s="39"/>
      <c r="Z771" s="39"/>
      <c r="AA771" s="39"/>
      <c r="AB771" s="39"/>
      <c r="AC771" s="39"/>
      <c r="AD771" s="39"/>
      <c r="AE771" s="39"/>
      <c r="AF771" s="39"/>
      <c r="AG771" s="39"/>
      <c r="AH771" s="39"/>
      <c r="AI771" s="39"/>
      <c r="AJ771" s="423"/>
      <c r="AK771" s="39"/>
      <c r="AL771" s="423"/>
      <c r="AM771" s="39"/>
      <c r="AN771" s="39"/>
      <c r="AO771" s="39"/>
      <c r="AP771" s="39"/>
    </row>
    <row r="772" spans="2:42">
      <c r="B772" s="39"/>
      <c r="C772" s="39"/>
      <c r="D772" s="39"/>
      <c r="E772" s="39"/>
      <c r="F772" s="39"/>
      <c r="G772" s="39"/>
      <c r="H772" s="39"/>
      <c r="I772" s="39"/>
      <c r="J772" s="39"/>
      <c r="K772" s="39"/>
      <c r="L772" s="100"/>
      <c r="N772" s="39"/>
      <c r="O772" s="39"/>
      <c r="P772" s="39"/>
      <c r="Q772" s="39"/>
      <c r="R772" s="39"/>
      <c r="S772" s="39"/>
      <c r="T772" s="39"/>
      <c r="U772" s="39"/>
      <c r="V772" s="39"/>
      <c r="W772" s="39"/>
      <c r="Y772" s="39"/>
      <c r="Z772" s="39"/>
      <c r="AA772" s="39"/>
      <c r="AB772" s="39"/>
      <c r="AC772" s="39"/>
      <c r="AD772" s="39"/>
      <c r="AE772" s="39"/>
      <c r="AF772" s="39"/>
      <c r="AG772" s="39"/>
      <c r="AH772" s="39"/>
      <c r="AI772" s="39"/>
      <c r="AJ772" s="423"/>
      <c r="AK772" s="39"/>
      <c r="AL772" s="423"/>
      <c r="AM772" s="39"/>
      <c r="AN772" s="39"/>
      <c r="AO772" s="39"/>
      <c r="AP772" s="39"/>
    </row>
    <row r="773" spans="2:42">
      <c r="B773" s="39"/>
      <c r="C773" s="39"/>
      <c r="D773" s="39"/>
      <c r="E773" s="39"/>
      <c r="F773" s="39"/>
      <c r="G773" s="39"/>
      <c r="H773" s="39"/>
      <c r="I773" s="39"/>
      <c r="J773" s="39"/>
      <c r="K773" s="39"/>
      <c r="L773" s="100"/>
      <c r="N773" s="39"/>
      <c r="O773" s="39"/>
      <c r="P773" s="39"/>
      <c r="Q773" s="39"/>
      <c r="R773" s="39"/>
      <c r="S773" s="39"/>
      <c r="T773" s="39"/>
      <c r="U773" s="39"/>
      <c r="V773" s="39"/>
      <c r="W773" s="39"/>
      <c r="Y773" s="39"/>
      <c r="Z773" s="39"/>
      <c r="AA773" s="39"/>
      <c r="AB773" s="39"/>
      <c r="AC773" s="39"/>
      <c r="AD773" s="39"/>
      <c r="AE773" s="39"/>
      <c r="AF773" s="39"/>
      <c r="AG773" s="39"/>
      <c r="AH773" s="39"/>
      <c r="AI773" s="39"/>
      <c r="AJ773" s="423"/>
      <c r="AK773" s="39"/>
      <c r="AL773" s="423"/>
      <c r="AM773" s="39"/>
      <c r="AN773" s="39"/>
      <c r="AO773" s="39"/>
      <c r="AP773" s="39"/>
    </row>
    <row r="774" spans="2:42">
      <c r="B774" s="39"/>
      <c r="C774" s="39"/>
      <c r="D774" s="39"/>
      <c r="E774" s="39"/>
      <c r="F774" s="39"/>
      <c r="G774" s="39"/>
      <c r="H774" s="39"/>
      <c r="I774" s="39"/>
      <c r="J774" s="39"/>
      <c r="K774" s="39"/>
      <c r="L774" s="100"/>
      <c r="N774" s="39"/>
      <c r="O774" s="39"/>
      <c r="P774" s="39"/>
      <c r="Q774" s="39"/>
      <c r="R774" s="39"/>
      <c r="S774" s="39"/>
      <c r="T774" s="39"/>
      <c r="U774" s="39"/>
      <c r="V774" s="39"/>
      <c r="W774" s="39"/>
      <c r="Y774" s="39"/>
      <c r="Z774" s="39"/>
      <c r="AA774" s="39"/>
      <c r="AB774" s="39"/>
      <c r="AC774" s="39"/>
      <c r="AD774" s="39"/>
      <c r="AE774" s="39"/>
      <c r="AF774" s="39"/>
      <c r="AG774" s="39"/>
      <c r="AH774" s="39"/>
      <c r="AI774" s="39"/>
      <c r="AJ774" s="423"/>
      <c r="AK774" s="39"/>
      <c r="AL774" s="423"/>
      <c r="AM774" s="39"/>
      <c r="AN774" s="39"/>
      <c r="AO774" s="39"/>
      <c r="AP774" s="39"/>
    </row>
    <row r="775" spans="2:42">
      <c r="B775" s="39"/>
      <c r="C775" s="39"/>
      <c r="D775" s="39"/>
      <c r="E775" s="39"/>
      <c r="F775" s="39"/>
      <c r="G775" s="39"/>
      <c r="H775" s="39"/>
      <c r="I775" s="39"/>
      <c r="J775" s="39"/>
      <c r="K775" s="39"/>
      <c r="L775" s="100"/>
      <c r="N775" s="39"/>
      <c r="O775" s="39"/>
      <c r="P775" s="39"/>
      <c r="Q775" s="39"/>
      <c r="R775" s="39"/>
      <c r="S775" s="39"/>
      <c r="T775" s="39"/>
      <c r="U775" s="39"/>
      <c r="V775" s="39"/>
      <c r="W775" s="39"/>
      <c r="Y775" s="39"/>
      <c r="Z775" s="39"/>
      <c r="AA775" s="39"/>
      <c r="AB775" s="39"/>
      <c r="AC775" s="39"/>
      <c r="AD775" s="39"/>
      <c r="AE775" s="39"/>
      <c r="AF775" s="39"/>
      <c r="AG775" s="39"/>
      <c r="AH775" s="39"/>
      <c r="AI775" s="39"/>
      <c r="AJ775" s="423"/>
      <c r="AK775" s="39"/>
      <c r="AL775" s="423"/>
      <c r="AM775" s="39"/>
      <c r="AN775" s="39"/>
      <c r="AO775" s="39"/>
      <c r="AP775" s="39"/>
    </row>
    <row r="776" spans="2:42">
      <c r="B776" s="39"/>
      <c r="C776" s="39"/>
      <c r="D776" s="39"/>
      <c r="E776" s="39"/>
      <c r="F776" s="39"/>
      <c r="G776" s="39"/>
      <c r="H776" s="39"/>
      <c r="I776" s="39"/>
      <c r="J776" s="39"/>
      <c r="K776" s="39"/>
      <c r="L776" s="100"/>
      <c r="N776" s="39"/>
      <c r="O776" s="39"/>
      <c r="P776" s="39"/>
      <c r="Q776" s="39"/>
      <c r="R776" s="39"/>
      <c r="S776" s="39"/>
      <c r="T776" s="39"/>
      <c r="U776" s="39"/>
      <c r="V776" s="39"/>
      <c r="W776" s="39"/>
      <c r="Y776" s="39"/>
      <c r="Z776" s="39"/>
      <c r="AA776" s="39"/>
      <c r="AB776" s="39"/>
      <c r="AC776" s="39"/>
      <c r="AD776" s="39"/>
      <c r="AE776" s="39"/>
      <c r="AF776" s="39"/>
      <c r="AG776" s="39"/>
      <c r="AH776" s="39"/>
      <c r="AI776" s="39"/>
      <c r="AJ776" s="423"/>
      <c r="AK776" s="39"/>
      <c r="AL776" s="423"/>
      <c r="AM776" s="39"/>
      <c r="AN776" s="39"/>
      <c r="AO776" s="39"/>
      <c r="AP776" s="39"/>
    </row>
    <row r="777" spans="2:42">
      <c r="B777" s="39"/>
      <c r="C777" s="39"/>
      <c r="D777" s="39"/>
      <c r="E777" s="39"/>
      <c r="F777" s="39"/>
      <c r="G777" s="39"/>
      <c r="H777" s="39"/>
      <c r="I777" s="39"/>
      <c r="J777" s="39"/>
      <c r="K777" s="39"/>
      <c r="L777" s="100"/>
      <c r="N777" s="39"/>
      <c r="O777" s="39"/>
      <c r="P777" s="39"/>
      <c r="Q777" s="39"/>
      <c r="R777" s="39"/>
      <c r="S777" s="39"/>
      <c r="T777" s="39"/>
      <c r="U777" s="39"/>
      <c r="V777" s="39"/>
      <c r="W777" s="39"/>
      <c r="Y777" s="39"/>
      <c r="Z777" s="39"/>
      <c r="AA777" s="39"/>
      <c r="AB777" s="39"/>
      <c r="AC777" s="39"/>
      <c r="AD777" s="39"/>
      <c r="AE777" s="39"/>
      <c r="AF777" s="39"/>
      <c r="AG777" s="39"/>
      <c r="AH777" s="39"/>
      <c r="AI777" s="39"/>
      <c r="AJ777" s="423"/>
      <c r="AK777" s="39"/>
      <c r="AL777" s="423"/>
      <c r="AM777" s="39"/>
      <c r="AN777" s="39"/>
      <c r="AO777" s="39"/>
      <c r="AP777" s="39"/>
    </row>
  </sheetData>
  <mergeCells count="229">
    <mergeCell ref="X95:AH95"/>
    <mergeCell ref="X103:AF103"/>
    <mergeCell ref="X104:AH104"/>
    <mergeCell ref="X132:AF132"/>
    <mergeCell ref="X133:AF133"/>
    <mergeCell ref="X134:AF134"/>
    <mergeCell ref="AH12:AH14"/>
    <mergeCell ref="AH50:AH58"/>
    <mergeCell ref="AH62:AH67"/>
    <mergeCell ref="AH69:AH79"/>
    <mergeCell ref="AH81:AH84"/>
    <mergeCell ref="AH86:AH89"/>
    <mergeCell ref="AH91:AH94"/>
    <mergeCell ref="AH96:AH103"/>
    <mergeCell ref="AH105:AH134"/>
    <mergeCell ref="X67:AF67"/>
    <mergeCell ref="X68:AH68"/>
    <mergeCell ref="X79:AF79"/>
    <mergeCell ref="X80:AH80"/>
    <mergeCell ref="X84:AF84"/>
    <mergeCell ref="X85:AH85"/>
    <mergeCell ref="X89:AF89"/>
    <mergeCell ref="X90:AH90"/>
    <mergeCell ref="X94:AF94"/>
    <mergeCell ref="X57:AF57"/>
    <mergeCell ref="X58:AF58"/>
    <mergeCell ref="X61:AH61"/>
    <mergeCell ref="Z16:AA16"/>
    <mergeCell ref="Z17:AA17"/>
    <mergeCell ref="Z19:AA19"/>
    <mergeCell ref="AH19:AH45"/>
    <mergeCell ref="Z20:AA20"/>
    <mergeCell ref="Z21:AA21"/>
    <mergeCell ref="Z22:AA22"/>
    <mergeCell ref="Z23:AA23"/>
    <mergeCell ref="Z24:AA24"/>
    <mergeCell ref="Z25:AA25"/>
    <mergeCell ref="Z26:AA26"/>
    <mergeCell ref="Z27:AA27"/>
    <mergeCell ref="Z28:AA28"/>
    <mergeCell ref="Z29:AA29"/>
    <mergeCell ref="Z30:AA30"/>
    <mergeCell ref="Z52:AA52"/>
    <mergeCell ref="Z31:AA31"/>
    <mergeCell ref="Z32:AA32"/>
    <mergeCell ref="Z33:AA33"/>
    <mergeCell ref="Z34:AA34"/>
    <mergeCell ref="Z35:AA35"/>
    <mergeCell ref="K105:K134"/>
    <mergeCell ref="W12:W14"/>
    <mergeCell ref="M15:W15"/>
    <mergeCell ref="M46:W46"/>
    <mergeCell ref="W50:W58"/>
    <mergeCell ref="W62:W67"/>
    <mergeCell ref="W69:W79"/>
    <mergeCell ref="W81:W84"/>
    <mergeCell ref="W86:W89"/>
    <mergeCell ref="W91:W94"/>
    <mergeCell ref="W96:W103"/>
    <mergeCell ref="W105:W134"/>
    <mergeCell ref="K12:K14"/>
    <mergeCell ref="A15:K15"/>
    <mergeCell ref="A46:K46"/>
    <mergeCell ref="K50:K58"/>
    <mergeCell ref="K62:K67"/>
    <mergeCell ref="K69:K79"/>
    <mergeCell ref="K81:K84"/>
    <mergeCell ref="K86:K89"/>
    <mergeCell ref="K91:K94"/>
    <mergeCell ref="M14:U14"/>
    <mergeCell ref="O33:P33"/>
    <mergeCell ref="O56:P56"/>
    <mergeCell ref="O19:P19"/>
    <mergeCell ref="O50:P50"/>
    <mergeCell ref="O51:P51"/>
    <mergeCell ref="O52:P52"/>
    <mergeCell ref="O53:P53"/>
    <mergeCell ref="O54:P54"/>
    <mergeCell ref="O44:P44"/>
    <mergeCell ref="M45:U45"/>
    <mergeCell ref="O47:P47"/>
    <mergeCell ref="O48:P48"/>
    <mergeCell ref="M49:W49"/>
    <mergeCell ref="W19:W45"/>
    <mergeCell ref="O20:P20"/>
    <mergeCell ref="O21:P21"/>
    <mergeCell ref="O22:P22"/>
    <mergeCell ref="O23:P23"/>
    <mergeCell ref="O24:P24"/>
    <mergeCell ref="O37:P37"/>
    <mergeCell ref="O38:P38"/>
    <mergeCell ref="O39:P39"/>
    <mergeCell ref="O40:P40"/>
    <mergeCell ref="O41:P41"/>
    <mergeCell ref="O42:P42"/>
    <mergeCell ref="O31:P31"/>
    <mergeCell ref="O32:P32"/>
    <mergeCell ref="O34:P34"/>
    <mergeCell ref="O35:P35"/>
    <mergeCell ref="O36:P36"/>
    <mergeCell ref="O25:P25"/>
    <mergeCell ref="O26:P26"/>
    <mergeCell ref="O27:P27"/>
    <mergeCell ref="O28:P28"/>
    <mergeCell ref="O29:P29"/>
    <mergeCell ref="O30:P30"/>
    <mergeCell ref="O43:P43"/>
    <mergeCell ref="M134:U134"/>
    <mergeCell ref="M90:W90"/>
    <mergeCell ref="M94:U94"/>
    <mergeCell ref="M95:W95"/>
    <mergeCell ref="M103:U103"/>
    <mergeCell ref="M104:W104"/>
    <mergeCell ref="M132:U132"/>
    <mergeCell ref="M68:W68"/>
    <mergeCell ref="M79:U79"/>
    <mergeCell ref="M85:W85"/>
    <mergeCell ref="M89:U89"/>
    <mergeCell ref="M57:U57"/>
    <mergeCell ref="M58:U58"/>
    <mergeCell ref="M61:W61"/>
    <mergeCell ref="M67:U67"/>
    <mergeCell ref="O55:P55"/>
    <mergeCell ref="M80:W80"/>
    <mergeCell ref="M84:U84"/>
    <mergeCell ref="M133:U133"/>
    <mergeCell ref="C24:D24"/>
    <mergeCell ref="C31:D31"/>
    <mergeCell ref="C32:D32"/>
    <mergeCell ref="C33:D33"/>
    <mergeCell ref="C34:D34"/>
    <mergeCell ref="C35:D35"/>
    <mergeCell ref="C36:D36"/>
    <mergeCell ref="C25:D25"/>
    <mergeCell ref="C26:D26"/>
    <mergeCell ref="C27:D27"/>
    <mergeCell ref="A67:I67"/>
    <mergeCell ref="C50:D50"/>
    <mergeCell ref="C51:D51"/>
    <mergeCell ref="C52:D52"/>
    <mergeCell ref="C53:D53"/>
    <mergeCell ref="C54:D54"/>
    <mergeCell ref="A133:I133"/>
    <mergeCell ref="A134:I134"/>
    <mergeCell ref="A90:K90"/>
    <mergeCell ref="A94:I94"/>
    <mergeCell ref="A95:K95"/>
    <mergeCell ref="A103:I103"/>
    <mergeCell ref="A104:K104"/>
    <mergeCell ref="A132:I132"/>
    <mergeCell ref="A68:K68"/>
    <mergeCell ref="A79:I79"/>
    <mergeCell ref="A80:K80"/>
    <mergeCell ref="A84:I84"/>
    <mergeCell ref="A85:K85"/>
    <mergeCell ref="A89:I89"/>
    <mergeCell ref="A57:I57"/>
    <mergeCell ref="A58:I58"/>
    <mergeCell ref="A61:K61"/>
    <mergeCell ref="K96:K103"/>
    <mergeCell ref="C56:D56"/>
    <mergeCell ref="C28:D28"/>
    <mergeCell ref="C29:D29"/>
    <mergeCell ref="C30:D30"/>
    <mergeCell ref="C43:D43"/>
    <mergeCell ref="C55:D55"/>
    <mergeCell ref="C44:D44"/>
    <mergeCell ref="C17:D17"/>
    <mergeCell ref="A45:I45"/>
    <mergeCell ref="C47:D47"/>
    <mergeCell ref="C48:D48"/>
    <mergeCell ref="A49:K49"/>
    <mergeCell ref="C37:D37"/>
    <mergeCell ref="C38:D38"/>
    <mergeCell ref="C39:D39"/>
    <mergeCell ref="C40:D40"/>
    <mergeCell ref="C41:D41"/>
    <mergeCell ref="C42:D42"/>
    <mergeCell ref="C19:D19"/>
    <mergeCell ref="K19:K45"/>
    <mergeCell ref="C20:D20"/>
    <mergeCell ref="C21:D21"/>
    <mergeCell ref="C22:D22"/>
    <mergeCell ref="C23:D23"/>
    <mergeCell ref="A14:I14"/>
    <mergeCell ref="A18:K18"/>
    <mergeCell ref="Z9:AA9"/>
    <mergeCell ref="Z10:AA10"/>
    <mergeCell ref="Z12:AA12"/>
    <mergeCell ref="Z13:AA13"/>
    <mergeCell ref="B5:K5"/>
    <mergeCell ref="X11:AH11"/>
    <mergeCell ref="C9:D9"/>
    <mergeCell ref="C10:D10"/>
    <mergeCell ref="A11:K11"/>
    <mergeCell ref="C12:D12"/>
    <mergeCell ref="C13:D13"/>
    <mergeCell ref="O9:P9"/>
    <mergeCell ref="O10:P10"/>
    <mergeCell ref="M11:W11"/>
    <mergeCell ref="O12:P12"/>
    <mergeCell ref="O13:P13"/>
    <mergeCell ref="C16:D16"/>
    <mergeCell ref="O16:P16"/>
    <mergeCell ref="O17:P17"/>
    <mergeCell ref="M18:W18"/>
    <mergeCell ref="Z36:AA36"/>
    <mergeCell ref="Z37:AA37"/>
    <mergeCell ref="Z38:AA38"/>
    <mergeCell ref="Z39:AA39"/>
    <mergeCell ref="X14:AF14"/>
    <mergeCell ref="X15:AH15"/>
    <mergeCell ref="X18:AH18"/>
    <mergeCell ref="X45:AF45"/>
    <mergeCell ref="X46:AH46"/>
    <mergeCell ref="X49:AH49"/>
    <mergeCell ref="Z53:AA53"/>
    <mergeCell ref="Z54:AA54"/>
    <mergeCell ref="Z55:AA55"/>
    <mergeCell ref="Z56:AA56"/>
    <mergeCell ref="Z40:AA40"/>
    <mergeCell ref="Z41:AA41"/>
    <mergeCell ref="Z42:AA42"/>
    <mergeCell ref="Z43:AA43"/>
    <mergeCell ref="Z44:AA44"/>
    <mergeCell ref="Z47:AA47"/>
    <mergeCell ref="Z48:AA48"/>
    <mergeCell ref="Z50:AA50"/>
    <mergeCell ref="Z51:AA51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blackAndWhite="1" r:id="rId1"/>
  <colBreaks count="2" manualBreakCount="2">
    <brk id="12" max="149" man="1"/>
    <brk id="23" max="149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Y16"/>
  <sheetViews>
    <sheetView tabSelected="1" view="pageBreakPreview" topLeftCell="F1" zoomScaleSheetLayoutView="100" workbookViewId="0">
      <selection activeCell="V5" sqref="V5"/>
    </sheetView>
  </sheetViews>
  <sheetFormatPr defaultColWidth="8.85546875" defaultRowHeight="12.75"/>
  <cols>
    <col min="1" max="1" width="31" style="1" customWidth="1"/>
    <col min="2" max="2" width="9.42578125" style="1" bestFit="1" customWidth="1"/>
    <col min="3" max="3" width="13.140625" style="1" customWidth="1"/>
    <col min="4" max="4" width="12.28515625" style="1" customWidth="1"/>
    <col min="5" max="5" width="9" style="1" customWidth="1"/>
    <col min="6" max="9" width="8.85546875" style="1"/>
    <col min="10" max="10" width="9.42578125" style="1" bestFit="1" customWidth="1"/>
    <col min="11" max="11" width="8.85546875" style="1"/>
    <col min="12" max="12" width="29.140625" style="442" customWidth="1"/>
    <col min="13" max="13" width="17.5703125" style="1" bestFit="1" customWidth="1"/>
    <col min="14" max="14" width="20.28515625" style="443" customWidth="1"/>
    <col min="15" max="15" width="12.7109375" style="1" bestFit="1" customWidth="1"/>
    <col min="16" max="17" width="10.140625" style="1" bestFit="1" customWidth="1"/>
    <col min="18" max="18" width="11.7109375" style="1" bestFit="1" customWidth="1"/>
    <col min="19" max="19" width="13.42578125" style="1" customWidth="1"/>
    <col min="20" max="20" width="18.42578125" style="1" bestFit="1" customWidth="1"/>
    <col min="21" max="22" width="9.140625" style="1" bestFit="1" customWidth="1"/>
    <col min="23" max="23" width="12.7109375" style="1" bestFit="1" customWidth="1"/>
    <col min="24" max="24" width="11.7109375" style="1" bestFit="1" customWidth="1"/>
    <col min="25" max="25" width="12.7109375" style="1" bestFit="1" customWidth="1"/>
    <col min="26" max="16384" width="8.85546875" style="1"/>
  </cols>
  <sheetData>
    <row r="1" spans="1:25" ht="46.5" customHeight="1">
      <c r="A1" s="928" t="s">
        <v>364</v>
      </c>
      <c r="B1" s="928"/>
      <c r="C1" s="928"/>
      <c r="D1" s="928"/>
      <c r="E1" s="928"/>
      <c r="F1" s="928"/>
      <c r="G1" s="928"/>
      <c r="H1" s="928"/>
      <c r="I1" s="928"/>
      <c r="J1" s="928"/>
      <c r="K1" s="928"/>
      <c r="L1" s="928"/>
      <c r="M1" s="928"/>
      <c r="N1" s="928"/>
    </row>
    <row r="2" spans="1:25" ht="25.5" customHeight="1">
      <c r="A2" s="929" t="s">
        <v>123</v>
      </c>
      <c r="B2" s="929" t="s">
        <v>70</v>
      </c>
      <c r="C2" s="929"/>
      <c r="D2" s="929"/>
      <c r="E2" s="929" t="s">
        <v>71</v>
      </c>
      <c r="F2" s="929"/>
      <c r="G2" s="929"/>
      <c r="H2" s="929"/>
      <c r="I2" s="929"/>
      <c r="J2" s="929"/>
      <c r="K2" s="929"/>
      <c r="L2" s="930" t="s">
        <v>72</v>
      </c>
      <c r="M2" s="931" t="s">
        <v>294</v>
      </c>
      <c r="N2" s="924" t="s">
        <v>295</v>
      </c>
    </row>
    <row r="3" spans="1:25">
      <c r="A3" s="929"/>
      <c r="B3" s="397" t="s">
        <v>32</v>
      </c>
      <c r="C3" s="397" t="s">
        <v>69</v>
      </c>
      <c r="D3" s="397" t="s">
        <v>33</v>
      </c>
      <c r="E3" s="397" t="s">
        <v>34</v>
      </c>
      <c r="F3" s="397" t="s">
        <v>35</v>
      </c>
      <c r="G3" s="397" t="s">
        <v>36</v>
      </c>
      <c r="H3" s="397" t="s">
        <v>37</v>
      </c>
      <c r="I3" s="397" t="s">
        <v>38</v>
      </c>
      <c r="J3" s="397" t="s">
        <v>39</v>
      </c>
      <c r="K3" s="397" t="s">
        <v>40</v>
      </c>
      <c r="L3" s="930"/>
      <c r="M3" s="931"/>
      <c r="N3" s="932"/>
      <c r="O3" s="936" t="s">
        <v>32</v>
      </c>
      <c r="P3" s="936" t="s">
        <v>69</v>
      </c>
      <c r="Q3" s="936" t="s">
        <v>33</v>
      </c>
      <c r="R3" s="936" t="s">
        <v>34</v>
      </c>
      <c r="S3" s="936" t="s">
        <v>35</v>
      </c>
      <c r="T3" s="936" t="s">
        <v>36</v>
      </c>
      <c r="U3" s="936" t="s">
        <v>37</v>
      </c>
      <c r="V3" s="936" t="s">
        <v>38</v>
      </c>
      <c r="W3" s="936" t="s">
        <v>39</v>
      </c>
      <c r="X3" s="936" t="s">
        <v>40</v>
      </c>
      <c r="Y3" s="936" t="s">
        <v>366</v>
      </c>
    </row>
    <row r="4" spans="1:25" ht="15.75">
      <c r="A4" s="398">
        <v>1</v>
      </c>
      <c r="B4" s="398">
        <v>2</v>
      </c>
      <c r="C4" s="398">
        <v>3</v>
      </c>
      <c r="D4" s="398">
        <v>4</v>
      </c>
      <c r="E4" s="398">
        <v>5</v>
      </c>
      <c r="F4" s="398">
        <v>6</v>
      </c>
      <c r="G4" s="398">
        <v>7</v>
      </c>
      <c r="H4" s="398">
        <v>8</v>
      </c>
      <c r="I4" s="398">
        <v>9</v>
      </c>
      <c r="J4" s="398">
        <v>10</v>
      </c>
      <c r="K4" s="398">
        <v>11</v>
      </c>
      <c r="L4" s="436" t="s">
        <v>41</v>
      </c>
      <c r="M4" s="396">
        <v>13</v>
      </c>
      <c r="N4" s="933" t="s">
        <v>296</v>
      </c>
      <c r="O4" s="936">
        <f>'расчет по услугам'!AI14</f>
        <v>5349999.9999999981</v>
      </c>
      <c r="P4" s="936">
        <f>'расчет по услугам'!AI45</f>
        <v>90000</v>
      </c>
      <c r="Q4" s="936">
        <f>'расчет по услугам'!AI57</f>
        <v>244000</v>
      </c>
      <c r="R4" s="936">
        <f>'расчет по услугам'!AJ67</f>
        <v>435536.97999999952</v>
      </c>
      <c r="S4" s="936">
        <f>'расчет по услугам'!AJ79</f>
        <v>316081.03000000003</v>
      </c>
      <c r="T4" s="936">
        <f>'расчет по услугам'!AI84</f>
        <v>0</v>
      </c>
      <c r="U4" s="936">
        <f>'расчет по услугам'!AI89</f>
        <v>18671.68</v>
      </c>
      <c r="V4" s="936">
        <f>'расчет по услугам'!AI94</f>
        <v>81000</v>
      </c>
      <c r="W4" s="936">
        <f>'расчет по услугам'!AI103</f>
        <v>5133922.0599999884</v>
      </c>
      <c r="X4" s="936">
        <f>'расчет по услугам'!AI132</f>
        <v>640659.95000000007</v>
      </c>
      <c r="Y4" s="936">
        <f>SUM(O4:X4)</f>
        <v>12309871.699999984</v>
      </c>
    </row>
    <row r="5" spans="1:25" ht="38.25">
      <c r="A5" s="466" t="s">
        <v>309</v>
      </c>
      <c r="B5" s="15">
        <f>'расчет по услугам'!J14</f>
        <v>222916.6666666666</v>
      </c>
      <c r="C5" s="34">
        <f>'расчет по услугам'!J45</f>
        <v>1953.75</v>
      </c>
      <c r="D5" s="34">
        <f>'расчет по услугам'!J57</f>
        <v>11916.666666666666</v>
      </c>
      <c r="E5" s="15">
        <f>'расчет по услугам'!J67</f>
        <v>21776.848999999973</v>
      </c>
      <c r="F5" s="15">
        <f>'расчет по услугам'!J79</f>
        <v>15804.051500000001</v>
      </c>
      <c r="G5" s="32">
        <f>'расчет по услугам'!J84</f>
        <v>0</v>
      </c>
      <c r="H5" s="32">
        <f>'расчет по услугам'!J89</f>
        <v>933.58400000000006</v>
      </c>
      <c r="I5" s="32">
        <f>'расчет по услугам'!J94</f>
        <v>3925</v>
      </c>
      <c r="J5" s="32">
        <f>'расчет по услугам'!J103</f>
        <v>246121.14074999955</v>
      </c>
      <c r="K5" s="32">
        <f>'расчет по услугам'!J132</f>
        <v>32446.497500000001</v>
      </c>
      <c r="L5" s="437">
        <f t="shared" ref="L5:L6" si="0">B5+C5+D5+E5+F5+G5+H5+I5+J5+K5</f>
        <v>557794.20608333289</v>
      </c>
      <c r="M5" s="205">
        <f>'расчет по услугам'!C7</f>
        <v>16</v>
      </c>
      <c r="N5" s="934">
        <f t="shared" ref="N5:N7" si="1">IFERROR(M5*L5,0)</f>
        <v>8924707.2973333262</v>
      </c>
      <c r="O5" s="937">
        <f>(B5*M5)/O4*100</f>
        <v>66.666666666666671</v>
      </c>
      <c r="P5" s="936">
        <f>(C5*M5)/P4*100</f>
        <v>34.733333333333334</v>
      </c>
      <c r="Q5" s="936">
        <f>(D5*M5)/Q4*100</f>
        <v>78.142076502732237</v>
      </c>
      <c r="R5" s="936">
        <f>(E5*M5)/R4*100</f>
        <v>80</v>
      </c>
      <c r="S5" s="936">
        <f>(F5*M5)/S4*100</f>
        <v>80</v>
      </c>
      <c r="T5" s="936" t="e">
        <f>(G5*M5)/T4*100</f>
        <v>#DIV/0!</v>
      </c>
      <c r="U5" s="936">
        <f>(H5*M5)/U4*100</f>
        <v>80</v>
      </c>
      <c r="V5" s="936">
        <f>(I5*M5)/V4*100</f>
        <v>77.530864197530875</v>
      </c>
      <c r="W5" s="936">
        <f>(J5*M5)/W4*100</f>
        <v>76.704285845741921</v>
      </c>
      <c r="X5" s="936">
        <f>(K5*M5)/X4*100</f>
        <v>81.032685124144237</v>
      </c>
      <c r="Y5" s="936"/>
    </row>
    <row r="6" spans="1:25" ht="38.25">
      <c r="A6" s="466" t="s">
        <v>310</v>
      </c>
      <c r="B6" s="15">
        <f>'расчет по услугам'!V14</f>
        <v>222916.6666666666</v>
      </c>
      <c r="C6" s="34">
        <f>'расчет по услугам'!V45</f>
        <v>14685</v>
      </c>
      <c r="D6" s="34">
        <f>'расчет по услугам'!V57</f>
        <v>11916.666666666666</v>
      </c>
      <c r="E6" s="15">
        <f>'расчет по услугам'!V67</f>
        <v>21776.848999999973</v>
      </c>
      <c r="F6" s="15">
        <f>'расчет по услугам'!V79</f>
        <v>15804.051500000001</v>
      </c>
      <c r="G6" s="32">
        <f>'расчет по услугам'!V84</f>
        <v>0</v>
      </c>
      <c r="H6" s="32">
        <f>'расчет по услугам'!V89</f>
        <v>933.58400000000006</v>
      </c>
      <c r="I6" s="32">
        <f>'расчет по услугам'!V94</f>
        <v>3925</v>
      </c>
      <c r="J6" s="32">
        <f>'расчет по услугам'!V103</f>
        <v>246121.14074999955</v>
      </c>
      <c r="K6" s="32">
        <f>'расчет по услугам'!V132</f>
        <v>30378.997500000001</v>
      </c>
      <c r="L6" s="437">
        <f t="shared" si="0"/>
        <v>568457.95608333289</v>
      </c>
      <c r="M6" s="205">
        <f>'расчет по услугам'!O7</f>
        <v>4</v>
      </c>
      <c r="N6" s="934">
        <f t="shared" si="1"/>
        <v>2273831.8243333315</v>
      </c>
      <c r="O6" s="937">
        <f>B6*M6/O4*100</f>
        <v>16.666666666666668</v>
      </c>
      <c r="P6" s="936">
        <f>(C6*M6)/P4*100</f>
        <v>65.266666666666666</v>
      </c>
      <c r="Q6" s="936">
        <f>(D6*M6)/Q4*100</f>
        <v>19.535519125683059</v>
      </c>
      <c r="R6" s="936">
        <f>(E6*M6)/R4*100</f>
        <v>20</v>
      </c>
      <c r="S6" s="936">
        <f>(F6*M6)/S4*100</f>
        <v>20</v>
      </c>
      <c r="T6" s="936" t="e">
        <f>(G6*M6)/T4*100</f>
        <v>#DIV/0!</v>
      </c>
      <c r="U6" s="936">
        <f>(H6*M6)/U4*100</f>
        <v>20</v>
      </c>
      <c r="V6" s="936">
        <f>(I6*M6)/V4*100</f>
        <v>19.382716049382719</v>
      </c>
      <c r="W6" s="936">
        <f>(J6*M6)/W4*100</f>
        <v>19.17607146143548</v>
      </c>
      <c r="X6" s="936">
        <f>(K6*M6)/X4*100</f>
        <v>18.967314875855749</v>
      </c>
      <c r="Y6" s="936"/>
    </row>
    <row r="7" spans="1:25" ht="78.75">
      <c r="A7" s="589" t="s">
        <v>359</v>
      </c>
      <c r="B7" s="335">
        <f>'расчет по услугам'!AG14</f>
        <v>222916.6666666666</v>
      </c>
      <c r="C7" s="336">
        <f>'расчет по услугам'!AG45</f>
        <v>0</v>
      </c>
      <c r="D7" s="336">
        <f>'расчет по услугам'!AG57</f>
        <v>1416.6666666666665</v>
      </c>
      <c r="E7" s="335">
        <f>'расчет по услугам'!AG67</f>
        <v>0</v>
      </c>
      <c r="F7" s="335">
        <f>'расчет по услугам'!AG79</f>
        <v>0</v>
      </c>
      <c r="G7" s="336">
        <f>'расчет по услугам'!AG84</f>
        <v>0</v>
      </c>
      <c r="H7" s="336">
        <f>'расчет по услугам'!AG89</f>
        <v>0</v>
      </c>
      <c r="I7" s="336">
        <f>'расчет по услугам'!AG94</f>
        <v>625</v>
      </c>
      <c r="J7" s="336">
        <f>'расчет по услугам'!AG103</f>
        <v>52874.811249999366</v>
      </c>
      <c r="K7" s="336">
        <f>'расчет по услугам'!AG132</f>
        <v>0</v>
      </c>
      <c r="L7" s="438">
        <f t="shared" ref="L7" si="2">B7+C7+D7+E7+F7+G7+H7+I7+J7+K7</f>
        <v>277833.14458333264</v>
      </c>
      <c r="M7" s="205">
        <f>'расчет по услугам'!Z7</f>
        <v>4</v>
      </c>
      <c r="N7" s="934">
        <f t="shared" si="1"/>
        <v>1111332.5783333306</v>
      </c>
      <c r="O7" s="937">
        <f>(B7*M7)/O4*100</f>
        <v>16.666666666666668</v>
      </c>
      <c r="P7" s="936">
        <f>(C7*M7)/P4*100</f>
        <v>0</v>
      </c>
      <c r="Q7" s="936">
        <f>(D7*M7)/Q4*100</f>
        <v>2.3224043715846991</v>
      </c>
      <c r="R7" s="936">
        <f>(E7*M7)/R4*100</f>
        <v>0</v>
      </c>
      <c r="S7" s="936">
        <f>(F7*M7)/S4*100</f>
        <v>0</v>
      </c>
      <c r="T7" s="936" t="e">
        <f>(G7*M7)/T4*100</f>
        <v>#DIV/0!</v>
      </c>
      <c r="U7" s="936">
        <f>(H7*M7)/U4*100</f>
        <v>0</v>
      </c>
      <c r="V7" s="936">
        <f>(I7*M7)/V4*100</f>
        <v>3.0864197530864197</v>
      </c>
      <c r="W7" s="936">
        <f>(J7*M7)/W4*100</f>
        <v>4.1196426928226089</v>
      </c>
      <c r="X7" s="936">
        <f>(K7*M7)/X4*100</f>
        <v>0</v>
      </c>
      <c r="Y7" s="936"/>
    </row>
    <row r="8" spans="1:25" ht="15" customHeight="1">
      <c r="A8" s="925" t="s">
        <v>297</v>
      </c>
      <c r="B8" s="926"/>
      <c r="C8" s="926"/>
      <c r="D8" s="926"/>
      <c r="E8" s="926"/>
      <c r="F8" s="926"/>
      <c r="G8" s="926"/>
      <c r="H8" s="926"/>
      <c r="I8" s="926"/>
      <c r="J8" s="926"/>
      <c r="K8" s="926"/>
      <c r="L8" s="926"/>
      <c r="M8" s="927"/>
      <c r="N8" s="935">
        <f>SUM(N5:N7)</f>
        <v>12309871.69999999</v>
      </c>
      <c r="O8" s="936">
        <f>SUM(O5:O7)</f>
        <v>100.00000000000001</v>
      </c>
      <c r="P8" s="936">
        <f>SUM(P5:P7)</f>
        <v>100</v>
      </c>
      <c r="Q8" s="936">
        <f>SUM(Q5:Q7)</f>
        <v>100</v>
      </c>
      <c r="R8" s="936">
        <f>SUM(R5:R7)</f>
        <v>100</v>
      </c>
      <c r="S8" s="936">
        <f>SUM(S5:S7)</f>
        <v>100</v>
      </c>
      <c r="T8" s="936" t="e">
        <f>SUM(T5:T7)</f>
        <v>#DIV/0!</v>
      </c>
      <c r="U8" s="936">
        <f>SUM(U5:U7)</f>
        <v>100</v>
      </c>
      <c r="V8" s="936">
        <f>SUM(V5:V7)</f>
        <v>100.00000000000001</v>
      </c>
      <c r="W8" s="936">
        <f>SUM(W5:W7)</f>
        <v>100.00000000000001</v>
      </c>
      <c r="X8" s="936">
        <f>SUM(X5:X7)</f>
        <v>99.999999999999986</v>
      </c>
      <c r="Y8" s="936"/>
    </row>
    <row r="9" spans="1:25">
      <c r="L9" s="439"/>
      <c r="M9" s="18"/>
    </row>
    <row r="10" spans="1:25" ht="14.25">
      <c r="L10" s="440" t="s">
        <v>298</v>
      </c>
      <c r="M10" s="399">
        <f>'расчет по услугам'!AG140</f>
        <v>0</v>
      </c>
    </row>
    <row r="11" spans="1:25" ht="28.5">
      <c r="L11" s="441" t="s">
        <v>299</v>
      </c>
      <c r="M11" s="400">
        <f>'расчет по услугам'!AG139</f>
        <v>12309871.699999999</v>
      </c>
    </row>
    <row r="12" spans="1:25" ht="10.5" customHeight="1"/>
    <row r="13" spans="1:25" hidden="1">
      <c r="J13" s="31"/>
      <c r="L13" s="439"/>
      <c r="M13" s="31"/>
    </row>
    <row r="14" spans="1:25" ht="15">
      <c r="K14" s="24"/>
      <c r="L14" s="439"/>
    </row>
    <row r="15" spans="1:25" ht="15">
      <c r="B15" s="5"/>
      <c r="C15" s="5"/>
      <c r="D15" s="5"/>
      <c r="F15" s="5"/>
      <c r="G15" s="5"/>
      <c r="H15" s="5"/>
      <c r="I15" s="5"/>
      <c r="J15" s="5"/>
      <c r="K15" s="24"/>
      <c r="L15" s="439"/>
      <c r="M15" s="31">
        <f>M9-M13</f>
        <v>0</v>
      </c>
      <c r="N15" s="448">
        <f>M11+M10-N8</f>
        <v>0</v>
      </c>
    </row>
    <row r="16" spans="1:25" ht="15">
      <c r="B16" s="38">
        <f t="shared" ref="B16:K16" si="3">SUM(B5:B7)</f>
        <v>668749.99999999977</v>
      </c>
      <c r="C16" s="38">
        <f t="shared" si="3"/>
        <v>16638.75</v>
      </c>
      <c r="D16" s="38">
        <f t="shared" si="3"/>
        <v>25250</v>
      </c>
      <c r="E16" s="38">
        <f t="shared" si="3"/>
        <v>43553.697999999946</v>
      </c>
      <c r="F16" s="38">
        <f t="shared" si="3"/>
        <v>31608.103000000003</v>
      </c>
      <c r="G16" s="38">
        <f t="shared" si="3"/>
        <v>0</v>
      </c>
      <c r="H16" s="38">
        <f t="shared" si="3"/>
        <v>1867.1680000000001</v>
      </c>
      <c r="I16" s="38">
        <f t="shared" si="3"/>
        <v>8475</v>
      </c>
      <c r="J16" s="38">
        <f t="shared" si="3"/>
        <v>545117.09274999844</v>
      </c>
      <c r="K16" s="38">
        <f t="shared" si="3"/>
        <v>62825.495000000003</v>
      </c>
      <c r="L16" s="439"/>
    </row>
  </sheetData>
  <mergeCells count="8">
    <mergeCell ref="N2:N3"/>
    <mergeCell ref="A8:M8"/>
    <mergeCell ref="A1:N1"/>
    <mergeCell ref="B2:D2"/>
    <mergeCell ref="E2:K2"/>
    <mergeCell ref="L2:L3"/>
    <mergeCell ref="A2:A3"/>
    <mergeCell ref="M2:M3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blackAndWhite="1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НН 3-8 дошк.гр.</vt:lpstr>
      <vt:lpstr>НН присмотр дошк.гр. </vt:lpstr>
      <vt:lpstr>НН присмотр ГПД</vt:lpstr>
      <vt:lpstr>расчет по услугам</vt:lpstr>
      <vt:lpstr>ИТОГО БНЗ</vt:lpstr>
      <vt:lpstr>'ИТОГО БНЗ'!Область_печати</vt:lpstr>
      <vt:lpstr>'НН 3-8 дошк.гр.'!Область_печати</vt:lpstr>
      <vt:lpstr>'НН присмотр ГПД'!Область_печати</vt:lpstr>
      <vt:lpstr>'НН присмотр дошк.гр. '!Область_печати</vt:lpstr>
      <vt:lpstr>'расчет по услугам'!Область_печати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ЕФАНОВ АЛЕКСАНДР АЛЕКСАНДРОВИЧ</dc:creator>
  <cp:lastModifiedBy>RYO-3-4</cp:lastModifiedBy>
  <cp:lastPrinted>2020-12-29T03:09:38Z</cp:lastPrinted>
  <dcterms:created xsi:type="dcterms:W3CDTF">2015-01-28T06:12:04Z</dcterms:created>
  <dcterms:modified xsi:type="dcterms:W3CDTF">2021-01-26T11:23:48Z</dcterms:modified>
</cp:coreProperties>
</file>